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firstSheet="3" activeTab="6"/>
  </bookViews>
  <sheets>
    <sheet name="AWPC mpl.soft eq. BP" sheetId="28" r:id="rId1"/>
    <sheet name="AWPC std.soft eq. BP" sheetId="27" r:id="rId2"/>
    <sheet name="WPC std.soft eq. BP" sheetId="25" r:id="rId3"/>
    <sheet name="Multy-reperat BP 1_2 bw. dt." sheetId="24" r:id="rId4"/>
    <sheet name="Multy-reperat 1 bw. dt." sheetId="22" r:id="rId5"/>
    <sheet name="Multy-reperat BP 1 bw." sheetId="21" r:id="rId6"/>
    <sheet name="AWPA raw PL" sheetId="15" r:id="rId7"/>
    <sheet name="AWPA m.ply BP" sheetId="14" r:id="rId8"/>
    <sheet name="AWPA s.ply BP" sheetId="13" r:id="rId9"/>
    <sheet name="AWPA raw BP" sheetId="12" r:id="rId10"/>
    <sheet name="AWPA s.ply DL" sheetId="11" r:id="rId11"/>
    <sheet name="AWPA raw DL" sheetId="10" r:id="rId12"/>
    <sheet name="WPA raw PL" sheetId="9" r:id="rId13"/>
    <sheet name="WPA m.ply BP" sheetId="8" r:id="rId14"/>
    <sheet name="WPA s.ply BP" sheetId="7" r:id="rId15"/>
    <sheet name="WPA raw BP" sheetId="6" r:id="rId16"/>
    <sheet name="WPA raw DL" sheetId="5" r:id="rId17"/>
  </sheets>
  <definedNames>
    <definedName name="_FilterDatabase" localSheetId="16" hidden="1">'WPA raw DL'!$A$1:$K$3</definedName>
  </definedNames>
  <calcPr calcId="125725" refMode="R1C1"/>
</workbook>
</file>

<file path=xl/calcChain.xml><?xml version="1.0" encoding="utf-8"?>
<calcChain xmlns="http://schemas.openxmlformats.org/spreadsheetml/2006/main">
  <c r="L6" i="28"/>
  <c r="K6"/>
  <c r="D6"/>
  <c r="L30" i="27"/>
  <c r="K30"/>
  <c r="D30"/>
  <c r="L27"/>
  <c r="K27"/>
  <c r="D27"/>
  <c r="L24"/>
  <c r="K24"/>
  <c r="D24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11"/>
  <c r="K11"/>
  <c r="D11"/>
  <c r="L10"/>
  <c r="K10"/>
  <c r="D10"/>
  <c r="L9"/>
  <c r="K9"/>
  <c r="D9"/>
  <c r="L6"/>
  <c r="K6"/>
  <c r="D6"/>
  <c r="L17" i="25"/>
  <c r="K17"/>
  <c r="D17"/>
  <c r="L14"/>
  <c r="K14"/>
  <c r="D14"/>
  <c r="L13"/>
  <c r="K13"/>
  <c r="D13"/>
  <c r="L10"/>
  <c r="K10"/>
  <c r="D10"/>
  <c r="L9"/>
  <c r="K9"/>
  <c r="D9"/>
  <c r="L6"/>
  <c r="K6"/>
  <c r="D6"/>
  <c r="J6" i="24"/>
  <c r="I6"/>
  <c r="D6"/>
  <c r="J33" i="22"/>
  <c r="I33"/>
  <c r="D33"/>
  <c r="J32"/>
  <c r="I32"/>
  <c r="D32"/>
  <c r="J31"/>
  <c r="I31"/>
  <c r="D31"/>
  <c r="J28"/>
  <c r="I28"/>
  <c r="D28"/>
  <c r="J27"/>
  <c r="I27"/>
  <c r="D27"/>
  <c r="J24"/>
  <c r="I24"/>
  <c r="D24"/>
  <c r="J23"/>
  <c r="I23"/>
  <c r="D23"/>
  <c r="J22"/>
  <c r="I22"/>
  <c r="D22"/>
  <c r="J21"/>
  <c r="I21"/>
  <c r="D21"/>
  <c r="J18"/>
  <c r="I18"/>
  <c r="D18"/>
  <c r="J17"/>
  <c r="I17"/>
  <c r="D17"/>
  <c r="J16"/>
  <c r="I16"/>
  <c r="D16"/>
  <c r="J13"/>
  <c r="I13"/>
  <c r="D13"/>
  <c r="J12"/>
  <c r="I12"/>
  <c r="D12"/>
  <c r="J11"/>
  <c r="I11"/>
  <c r="D11"/>
  <c r="J10"/>
  <c r="I10"/>
  <c r="D10"/>
  <c r="J9"/>
  <c r="I9"/>
  <c r="D9"/>
  <c r="J6"/>
  <c r="I6"/>
  <c r="D6"/>
  <c r="J7" i="21"/>
  <c r="I7"/>
  <c r="D7"/>
  <c r="J6"/>
  <c r="I6"/>
  <c r="D6"/>
  <c r="T47" i="15"/>
  <c r="S47"/>
  <c r="D47"/>
  <c r="T46"/>
  <c r="S46"/>
  <c r="D46"/>
  <c r="T43"/>
  <c r="S43"/>
  <c r="D43"/>
  <c r="T42"/>
  <c r="S42"/>
  <c r="D42"/>
  <c r="T41"/>
  <c r="S41"/>
  <c r="D41"/>
  <c r="T40"/>
  <c r="S40"/>
  <c r="D40"/>
  <c r="T37"/>
  <c r="S37"/>
  <c r="D37"/>
  <c r="T36"/>
  <c r="S36"/>
  <c r="D36"/>
  <c r="T35"/>
  <c r="S35"/>
  <c r="D35"/>
  <c r="T32"/>
  <c r="S32"/>
  <c r="D32"/>
  <c r="T31"/>
  <c r="S31"/>
  <c r="D31"/>
  <c r="T30"/>
  <c r="S30"/>
  <c r="D30"/>
  <c r="T27"/>
  <c r="S27"/>
  <c r="D27"/>
  <c r="T26"/>
  <c r="S26"/>
  <c r="D26"/>
  <c r="T23"/>
  <c r="S23"/>
  <c r="D23"/>
  <c r="T20"/>
  <c r="S20"/>
  <c r="D20"/>
  <c r="T17"/>
  <c r="S17"/>
  <c r="D17"/>
  <c r="T14"/>
  <c r="S14"/>
  <c r="D14"/>
  <c r="T11"/>
  <c r="S11"/>
  <c r="D11"/>
  <c r="T10"/>
  <c r="S10"/>
  <c r="D10"/>
  <c r="T7"/>
  <c r="S7"/>
  <c r="D7"/>
  <c r="T6"/>
  <c r="S6"/>
  <c r="D6"/>
  <c r="L7" i="14"/>
  <c r="K7"/>
  <c r="D7"/>
  <c r="L6"/>
  <c r="K6"/>
  <c r="D6"/>
  <c r="L6" i="13"/>
  <c r="K6"/>
  <c r="D6"/>
  <c r="L85" i="12"/>
  <c r="K85"/>
  <c r="D85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5"/>
  <c r="K65"/>
  <c r="D65"/>
  <c r="L64"/>
  <c r="K64"/>
  <c r="D64"/>
  <c r="L63"/>
  <c r="K63"/>
  <c r="D63"/>
  <c r="L62"/>
  <c r="K62"/>
  <c r="D62"/>
  <c r="L61"/>
  <c r="K61"/>
  <c r="D61"/>
  <c r="L60"/>
  <c r="K60"/>
  <c r="D60"/>
  <c r="L59"/>
  <c r="K59"/>
  <c r="D59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2"/>
  <c r="K42"/>
  <c r="D42"/>
  <c r="L41"/>
  <c r="K41"/>
  <c r="D41"/>
  <c r="L40"/>
  <c r="K40"/>
  <c r="D40"/>
  <c r="L39"/>
  <c r="K39"/>
  <c r="D39"/>
  <c r="L38"/>
  <c r="K38"/>
  <c r="D38"/>
  <c r="L37"/>
  <c r="K37"/>
  <c r="D37"/>
  <c r="L36"/>
  <c r="K36"/>
  <c r="D36"/>
  <c r="L35"/>
  <c r="K35"/>
  <c r="D35"/>
  <c r="L34"/>
  <c r="K34"/>
  <c r="D34"/>
  <c r="L33"/>
  <c r="K33"/>
  <c r="D33"/>
  <c r="L30"/>
  <c r="K30"/>
  <c r="D30"/>
  <c r="L29"/>
  <c r="K29"/>
  <c r="D29"/>
  <c r="L28"/>
  <c r="K28"/>
  <c r="D28"/>
  <c r="L27"/>
  <c r="K27"/>
  <c r="D27"/>
  <c r="L26"/>
  <c r="K26"/>
  <c r="D26"/>
  <c r="L25"/>
  <c r="K25"/>
  <c r="D25"/>
  <c r="L24"/>
  <c r="K24"/>
  <c r="D24"/>
  <c r="L21"/>
  <c r="K21"/>
  <c r="D21"/>
  <c r="L20"/>
  <c r="K20"/>
  <c r="D20"/>
  <c r="L19"/>
  <c r="K19"/>
  <c r="D19"/>
  <c r="L18"/>
  <c r="K18"/>
  <c r="D18"/>
  <c r="L17"/>
  <c r="K17"/>
  <c r="D17"/>
  <c r="L14"/>
  <c r="K14"/>
  <c r="D14"/>
  <c r="L11"/>
  <c r="K11"/>
  <c r="D11"/>
  <c r="L10"/>
  <c r="K10"/>
  <c r="D10"/>
  <c r="L7"/>
  <c r="K7"/>
  <c r="D7"/>
  <c r="L6"/>
  <c r="K6"/>
  <c r="D6"/>
  <c r="L6" i="11"/>
  <c r="K6"/>
  <c r="D6"/>
  <c r="L48" i="10"/>
  <c r="K48"/>
  <c r="D48"/>
  <c r="L45"/>
  <c r="K45"/>
  <c r="D45"/>
  <c r="L44"/>
  <c r="K44"/>
  <c r="D44"/>
  <c r="L43"/>
  <c r="K43"/>
  <c r="D43"/>
  <c r="L42"/>
  <c r="K42"/>
  <c r="D42"/>
  <c r="L39"/>
  <c r="K39"/>
  <c r="D39"/>
  <c r="L38"/>
  <c r="K38"/>
  <c r="D38"/>
  <c r="L37"/>
  <c r="K37"/>
  <c r="D37"/>
  <c r="L34"/>
  <c r="K34"/>
  <c r="D34"/>
  <c r="L31"/>
  <c r="K31"/>
  <c r="D31"/>
  <c r="L30"/>
  <c r="K30"/>
  <c r="D30"/>
  <c r="L29"/>
  <c r="K29"/>
  <c r="D29"/>
  <c r="L28"/>
  <c r="K28"/>
  <c r="D28"/>
  <c r="L25"/>
  <c r="K25"/>
  <c r="D25"/>
  <c r="L22"/>
  <c r="K22"/>
  <c r="D22"/>
  <c r="L19"/>
  <c r="K19"/>
  <c r="D19"/>
  <c r="L16"/>
  <c r="K16"/>
  <c r="D16"/>
  <c r="L13"/>
  <c r="K13"/>
  <c r="D13"/>
  <c r="L12"/>
  <c r="K12"/>
  <c r="D12"/>
  <c r="L9"/>
  <c r="K9"/>
  <c r="D9"/>
  <c r="L6"/>
  <c r="K6"/>
  <c r="D6"/>
  <c r="T20" i="9"/>
  <c r="S20"/>
  <c r="D20"/>
  <c r="T19"/>
  <c r="S19"/>
  <c r="D19"/>
  <c r="T16"/>
  <c r="S16"/>
  <c r="D16"/>
  <c r="T13"/>
  <c r="S13"/>
  <c r="D13"/>
  <c r="T10"/>
  <c r="S10"/>
  <c r="D10"/>
  <c r="T9"/>
  <c r="S9"/>
  <c r="D9"/>
  <c r="T6"/>
  <c r="S6"/>
  <c r="D6"/>
  <c r="L12" i="8"/>
  <c r="K12"/>
  <c r="D12"/>
  <c r="L9"/>
  <c r="K9"/>
  <c r="D9"/>
  <c r="L6"/>
  <c r="K6"/>
  <c r="D6"/>
  <c r="L6" i="7"/>
  <c r="K6"/>
  <c r="D6"/>
  <c r="L33" i="6"/>
  <c r="K33"/>
  <c r="D33"/>
  <c r="L32"/>
  <c r="K32"/>
  <c r="D32"/>
  <c r="L31"/>
  <c r="K31"/>
  <c r="D31"/>
  <c r="L28"/>
  <c r="K28"/>
  <c r="D28"/>
  <c r="L27"/>
  <c r="K27"/>
  <c r="D27"/>
  <c r="L26"/>
  <c r="K26"/>
  <c r="D26"/>
  <c r="L25"/>
  <c r="K25"/>
  <c r="D25"/>
  <c r="L24"/>
  <c r="K24"/>
  <c r="D24"/>
  <c r="L21"/>
  <c r="K21"/>
  <c r="D21"/>
  <c r="L20"/>
  <c r="K20"/>
  <c r="D20"/>
  <c r="L19"/>
  <c r="K19"/>
  <c r="D19"/>
  <c r="L16"/>
  <c r="K16"/>
  <c r="D16"/>
  <c r="L15"/>
  <c r="K15"/>
  <c r="D15"/>
  <c r="L14"/>
  <c r="K14"/>
  <c r="D14"/>
  <c r="L11"/>
  <c r="K11"/>
  <c r="D11"/>
  <c r="L10"/>
  <c r="K10"/>
  <c r="D10"/>
  <c r="L9"/>
  <c r="K9"/>
  <c r="D9"/>
  <c r="L6"/>
  <c r="K6"/>
  <c r="D6"/>
  <c r="L18" i="5"/>
  <c r="K18"/>
  <c r="D18"/>
  <c r="L17"/>
  <c r="K17"/>
  <c r="D17"/>
  <c r="L16"/>
  <c r="K16"/>
  <c r="D16"/>
  <c r="L15"/>
  <c r="K15"/>
  <c r="D15"/>
  <c r="L12"/>
  <c r="K12"/>
  <c r="D12"/>
  <c r="L9"/>
  <c r="K9"/>
  <c r="D9"/>
  <c r="L6"/>
  <c r="K6"/>
  <c r="D6"/>
</calcChain>
</file>

<file path=xl/sharedStrings.xml><?xml version="1.0" encoding="utf-8"?>
<sst xmlns="http://schemas.openxmlformats.org/spreadsheetml/2006/main" count="3204" uniqueCount="1117">
  <si>
    <t>Name</t>
  </si>
  <si>
    <t>Team</t>
  </si>
  <si>
    <t>Squat</t>
  </si>
  <si>
    <t>Benchpress</t>
  </si>
  <si>
    <t>Deadlift</t>
  </si>
  <si>
    <t>Coach</t>
  </si>
  <si>
    <t>Pts</t>
  </si>
  <si>
    <t>Rec</t>
  </si>
  <si>
    <t>Body
weight</t>
  </si>
  <si>
    <t>Total</t>
  </si>
  <si>
    <t>Age Class
Bith date/Age</t>
  </si>
  <si>
    <t>Shv/Mel</t>
  </si>
  <si>
    <t>Town/Country</t>
  </si>
  <si>
    <t>Body Weight Category  67.5</t>
  </si>
  <si>
    <t>Milokhova Alena</t>
  </si>
  <si>
    <t>1. Milokhova Alena</t>
  </si>
  <si>
    <t>Open (30.01.1991)/28</t>
  </si>
  <si>
    <t>65,60</t>
  </si>
  <si>
    <t>Megalift</t>
  </si>
  <si>
    <t>RUS/Moskva</t>
  </si>
  <si>
    <t>140,0</t>
  </si>
  <si>
    <t>160,0</t>
  </si>
  <si>
    <t>165,0</t>
  </si>
  <si>
    <t>Body Weight Category  100</t>
  </si>
  <si>
    <t>Armashov Alexey</t>
  </si>
  <si>
    <t>1. Armashov Alexey</t>
  </si>
  <si>
    <t>Open (14.11.1988)/30</t>
  </si>
  <si>
    <t>96,60</t>
  </si>
  <si>
    <t>Lichno</t>
  </si>
  <si>
    <t>RUS/Zheleznodorozhnyy</t>
  </si>
  <si>
    <t>240,0w</t>
  </si>
  <si>
    <t>250,0w</t>
  </si>
  <si>
    <t>260,0w</t>
  </si>
  <si>
    <t>Body Weight Category  110</t>
  </si>
  <si>
    <t>Nefyodov Sergey</t>
  </si>
  <si>
    <t>1. Nefyodov Sergey</t>
  </si>
  <si>
    <t>Open (14.06.1980)/38</t>
  </si>
  <si>
    <t>107,30</t>
  </si>
  <si>
    <t>RUS/Balashikha</t>
  </si>
  <si>
    <t>180,0w</t>
  </si>
  <si>
    <t>210,0w</t>
  </si>
  <si>
    <t>230,0w</t>
  </si>
  <si>
    <t>Body Weight Category  125</t>
  </si>
  <si>
    <t>Ikaev Sarmat</t>
  </si>
  <si>
    <t>1. Ikaev Sarmat</t>
  </si>
  <si>
    <t>Juniors 20-23 (08.11.1996)/22</t>
  </si>
  <si>
    <t>123,20</t>
  </si>
  <si>
    <t>RUS/Yuzhnaya Osetiya</t>
  </si>
  <si>
    <t>270,0w</t>
  </si>
  <si>
    <t>290,0</t>
  </si>
  <si>
    <t>Kucheryavenkov Aleksey</t>
  </si>
  <si>
    <t>1. Kucheryavenkov Aleksey</t>
  </si>
  <si>
    <t>Open (21.04.1981)/38</t>
  </si>
  <si>
    <t>118,50</t>
  </si>
  <si>
    <t>RUS/Dmitrov</t>
  </si>
  <si>
    <t>245,0w</t>
  </si>
  <si>
    <t>257,5</t>
  </si>
  <si>
    <t>Ovod Andrey</t>
  </si>
  <si>
    <t>2. Ovod Andrey</t>
  </si>
  <si>
    <t>Open (14.09.1985)/33</t>
  </si>
  <si>
    <t>121,40</t>
  </si>
  <si>
    <t>275,0</t>
  </si>
  <si>
    <t>Isakov Aleksey</t>
  </si>
  <si>
    <t>1. Isakov Aleksey</t>
  </si>
  <si>
    <t>Masters 55-59 (06.08.1963)/55</t>
  </si>
  <si>
    <t>123,00</t>
  </si>
  <si>
    <t>RUS/Omsk</t>
  </si>
  <si>
    <t>265,0w</t>
  </si>
  <si>
    <t>270,0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</si>
  <si>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</si>
  <si>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</si>
  <si>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</si>
  <si>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</si>
  <si>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</si>
  <si>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</si>
  <si>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</si>
  <si>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</si>
  <si>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Open</t>
  </si>
  <si>
    <t>Age class</t>
  </si>
  <si>
    <t>WC</t>
  </si>
  <si>
    <t>Totall</t>
  </si>
  <si>
    <t>67.5</t>
  </si>
  <si>
    <t>131,6535</t>
  </si>
  <si>
    <t>Man</t>
  </si>
  <si>
    <t>Juniors</t>
  </si>
  <si>
    <t>Juniors 20-23</t>
  </si>
  <si>
    <t>125</t>
  </si>
  <si>
    <t>141,3450</t>
  </si>
  <si>
    <t>100</t>
  </si>
  <si>
    <t>260,0</t>
  </si>
  <si>
    <t>146,3800</t>
  </si>
  <si>
    <t>142,6410</t>
  </si>
  <si>
    <t>136,6560</t>
  </si>
  <si>
    <t>110</t>
  </si>
  <si>
    <t>230,0</t>
  </si>
  <si>
    <t>124,2230</t>
  </si>
  <si>
    <t>Masters</t>
  </si>
  <si>
    <t>Masters 55-59</t>
  </si>
  <si>
    <t>265,0</t>
  </si>
  <si>
    <t>191,5171</t>
  </si>
  <si>
    <t>Result</t>
  </si>
  <si>
    <t>Berdnikov Vladimir</t>
  </si>
  <si>
    <t>1. Berdnikov Vladimir</t>
  </si>
  <si>
    <t>Open (25.02.1987)/32</t>
  </si>
  <si>
    <t>66,70</t>
  </si>
  <si>
    <t>GlobalFit</t>
  </si>
  <si>
    <t>RUS/Vidnoye</t>
  </si>
  <si>
    <t>120,0</t>
  </si>
  <si>
    <t>125,0</t>
  </si>
  <si>
    <t>Body Weight Category  82.5</t>
  </si>
  <si>
    <t>Temishev Vitaliy</t>
  </si>
  <si>
    <t>1. Temishev Vitaliy</t>
  </si>
  <si>
    <t>Open (15.04.1983)/36</t>
  </si>
  <si>
    <t>81,70</t>
  </si>
  <si>
    <t>RUS/Novosibirsk</t>
  </si>
  <si>
    <t>150,0w</t>
  </si>
  <si>
    <t>155,0w</t>
  </si>
  <si>
    <t>Vashurkin Aleksandr</t>
  </si>
  <si>
    <t>2. Vashurkin Aleksandr</t>
  </si>
  <si>
    <t>Open (03.09.1986)/32</t>
  </si>
  <si>
    <t>80,50</t>
  </si>
  <si>
    <t>VASHteam</t>
  </si>
  <si>
    <t>RUS/Zhukovskiy</t>
  </si>
  <si>
    <t>100,0</t>
  </si>
  <si>
    <t>127,5</t>
  </si>
  <si>
    <t>132,5</t>
  </si>
  <si>
    <t>Korikov Yuriy</t>
  </si>
  <si>
    <t>1. Korikov Yuriy</t>
  </si>
  <si>
    <t>Masters 55-59 (24.04.1962)/57</t>
  </si>
  <si>
    <t>81,50</t>
  </si>
  <si>
    <t>Antares</t>
  </si>
  <si>
    <t>130,0</t>
  </si>
  <si>
    <t>Body Weight Category  90</t>
  </si>
  <si>
    <t>Aksenchuk Vadim</t>
  </si>
  <si>
    <t>1. Aksenchuk Vadim</t>
  </si>
  <si>
    <t>Open (26.05.1982)/37</t>
  </si>
  <si>
    <t>88,70</t>
  </si>
  <si>
    <t>BLR/Minsk</t>
  </si>
  <si>
    <t>187,5w</t>
  </si>
  <si>
    <t>195,0w</t>
  </si>
  <si>
    <t>Bobarev Maksim</t>
  </si>
  <si>
    <t>2. Bobarev Maksim</t>
  </si>
  <si>
    <t>Open (13.11.1993)/25</t>
  </si>
  <si>
    <t>88,50</t>
  </si>
  <si>
    <t>180,0</t>
  </si>
  <si>
    <t>185,0w</t>
  </si>
  <si>
    <t>192,5w</t>
  </si>
  <si>
    <t>Petrichenko Maxim</t>
  </si>
  <si>
    <t>3. Petrichenko Maxim</t>
  </si>
  <si>
    <t>Open (31.05.1987)/32</t>
  </si>
  <si>
    <t>90,00</t>
  </si>
  <si>
    <t>RUS/Ryazan</t>
  </si>
  <si>
    <t>175,0w</t>
  </si>
  <si>
    <t>182,5</t>
  </si>
  <si>
    <t>Belkov Yuriy</t>
  </si>
  <si>
    <t>1. Belkov Yuriy</t>
  </si>
  <si>
    <t>Open (05.01.1987)/32</t>
  </si>
  <si>
    <t>98,20</t>
  </si>
  <si>
    <t>RUS/Novomoskovsk</t>
  </si>
  <si>
    <t>220,0</t>
  </si>
  <si>
    <t>220,0w</t>
  </si>
  <si>
    <t>Snezhkov Ilya</t>
  </si>
  <si>
    <t>2. Snezhkov Ilya</t>
  </si>
  <si>
    <t>Open (06.12.1989)/29</t>
  </si>
  <si>
    <t>96,20</t>
  </si>
  <si>
    <t>RUS/Zelenograd</t>
  </si>
  <si>
    <t>205,0w</t>
  </si>
  <si>
    <t>212,5w</t>
  </si>
  <si>
    <t>3. Armashov Alexey</t>
  </si>
  <si>
    <t>Blokh Sergey</t>
  </si>
  <si>
    <t>1. Blokh Sergey</t>
  </si>
  <si>
    <t>Open (19.04.1973)/46</t>
  </si>
  <si>
    <t>108,80</t>
  </si>
  <si>
    <t>200,0</t>
  </si>
  <si>
    <t>210,0</t>
  </si>
  <si>
    <t>Shurupin Oleg</t>
  </si>
  <si>
    <t>2. Shurupin Oleg</t>
  </si>
  <si>
    <t>Open (29.03.1994)/25</t>
  </si>
  <si>
    <t>101,40</t>
  </si>
  <si>
    <t>170,0</t>
  </si>
  <si>
    <t>170,0w</t>
  </si>
  <si>
    <t>-. Ovechkin Maxim</t>
  </si>
  <si>
    <t>Masters 40-44 (02.05.1976)/43</t>
  </si>
  <si>
    <t>109,70</t>
  </si>
  <si>
    <t>190,0</t>
  </si>
  <si>
    <t>Masters 45-49 (19.04.1973)/46</t>
  </si>
  <si>
    <t>Novozhilov Aleksey</t>
  </si>
  <si>
    <t>2. Novozhilov Aleksey</t>
  </si>
  <si>
    <t>Masters 45-49 (28.03.1972)/47</t>
  </si>
  <si>
    <t>109,30</t>
  </si>
  <si>
    <t>Yamal</t>
  </si>
  <si>
    <t>RUS/Novyy Urengoy</t>
  </si>
  <si>
    <t>175,0</t>
  </si>
  <si>
    <t>185,0</t>
  </si>
  <si>
    <t>140,0w</t>
  </si>
  <si>
    <t>Batmagnai Gansukn</t>
  </si>
  <si>
    <t>1. Batmagnai Gansukn</t>
  </si>
  <si>
    <t>Open (19.06.1988)/30</t>
  </si>
  <si>
    <t>115,70</t>
  </si>
  <si>
    <t>MNG/Mongoliya</t>
  </si>
  <si>
    <t>215,0</t>
  </si>
  <si>
    <t>225,0</t>
  </si>
  <si>
    <t>Mishta Yuriy</t>
  </si>
  <si>
    <t>1. Mishta Yuriy</t>
  </si>
  <si>
    <t>Masters 60-64 (24.11.1958)/60</t>
  </si>
  <si>
    <t>124,70</t>
  </si>
  <si>
    <t>160,0w</t>
  </si>
  <si>
    <t>165,0w</t>
  </si>
  <si>
    <t>150,0</t>
  </si>
  <si>
    <t>78,5250</t>
  </si>
  <si>
    <t>128,4780</t>
  </si>
  <si>
    <t>212,5</t>
  </si>
  <si>
    <t>119,8925</t>
  </si>
  <si>
    <t>119,4300</t>
  </si>
  <si>
    <t>90</t>
  </si>
  <si>
    <t>195,0</t>
  </si>
  <si>
    <t>115,1475</t>
  </si>
  <si>
    <t>192,5</t>
  </si>
  <si>
    <t>113,8445</t>
  </si>
  <si>
    <t>107,6000</t>
  </si>
  <si>
    <t>106,8173</t>
  </si>
  <si>
    <t>82.5</t>
  </si>
  <si>
    <t>155,0</t>
  </si>
  <si>
    <t>96,6425</t>
  </si>
  <si>
    <t>93,6360</t>
  </si>
  <si>
    <t>91,7125</t>
  </si>
  <si>
    <t>84,4500</t>
  </si>
  <si>
    <t>83,4883</t>
  </si>
  <si>
    <t>Masters 60-64</t>
  </si>
  <si>
    <t>145,8095</t>
  </si>
  <si>
    <t>Masters 45-49</t>
  </si>
  <si>
    <t>115,0244</t>
  </si>
  <si>
    <t>110,9112</t>
  </si>
  <si>
    <t>108,5453</t>
  </si>
  <si>
    <t>Bakharev Dmitriy</t>
  </si>
  <si>
    <t>1. Bakharev Dmitriy</t>
  </si>
  <si>
    <t>Open (05.04.1995)/24</t>
  </si>
  <si>
    <t>267,5</t>
  </si>
  <si>
    <t>139,8800</t>
  </si>
  <si>
    <t>Batkhuu Tuvshinzaya</t>
  </si>
  <si>
    <t>1. Batkhuu Tuvshinzaya</t>
  </si>
  <si>
    <t>Open (13.03.1984)/35</t>
  </si>
  <si>
    <t>100,00</t>
  </si>
  <si>
    <t>Bubir Dmitriy</t>
  </si>
  <si>
    <t>1. Bubir Dmitriy</t>
  </si>
  <si>
    <t>Open (22.05.1981)/38</t>
  </si>
  <si>
    <t>106,60</t>
  </si>
  <si>
    <t>235,0</t>
  </si>
  <si>
    <t>250,0</t>
  </si>
  <si>
    <t>Davaa Gan-Erdene</t>
  </si>
  <si>
    <t>1. Davaa Gan-Erdene</t>
  </si>
  <si>
    <t>Open (22.06.1986)/32</t>
  </si>
  <si>
    <t>116,10</t>
  </si>
  <si>
    <t>135,2750</t>
  </si>
  <si>
    <t>99,7200</t>
  </si>
  <si>
    <t>95,4720</t>
  </si>
  <si>
    <t>Burtsev Dmitriy</t>
  </si>
  <si>
    <t>1. Burtsev Dmitriy</t>
  </si>
  <si>
    <t>Masters 40-44 (21.02.1977)/42</t>
  </si>
  <si>
    <t>80,70</t>
  </si>
  <si>
    <t>200,0w</t>
  </si>
  <si>
    <t>130,0w</t>
  </si>
  <si>
    <t>145,0</t>
  </si>
  <si>
    <t>190,0w</t>
  </si>
  <si>
    <t>Reshetov Vladimir</t>
  </si>
  <si>
    <t>1. Reshetov Vladimir</t>
  </si>
  <si>
    <t>Masters 40-44 (07.07.1975)/43</t>
  </si>
  <si>
    <t>89,60</t>
  </si>
  <si>
    <t>225,0w</t>
  </si>
  <si>
    <t>255,0</t>
  </si>
  <si>
    <t>145,0w</t>
  </si>
  <si>
    <t>215,0w</t>
  </si>
  <si>
    <t>242,5w</t>
  </si>
  <si>
    <t>Gyurdzhidi Aleksandr</t>
  </si>
  <si>
    <t>2. Gyurdzhidi Aleksandr</t>
  </si>
  <si>
    <t>Masters 40-44 (12.07.1974)/44</t>
  </si>
  <si>
    <t>235,0w</t>
  </si>
  <si>
    <t>Krivonogov Aleksey</t>
  </si>
  <si>
    <t>1. Krivonogov Aleksey</t>
  </si>
  <si>
    <t>Open (29.11.1980)/38</t>
  </si>
  <si>
    <t>97,70</t>
  </si>
  <si>
    <t>300,0w</t>
  </si>
  <si>
    <t>315,0</t>
  </si>
  <si>
    <t>315,0w</t>
  </si>
  <si>
    <t>167,5w</t>
  </si>
  <si>
    <t>275,0w</t>
  </si>
  <si>
    <t>280,0w</t>
  </si>
  <si>
    <t>Semlev Vladimir</t>
  </si>
  <si>
    <t>1. Semlev Vladimir</t>
  </si>
  <si>
    <t>Open (12.10.1981)/37</t>
  </si>
  <si>
    <t>106,90</t>
  </si>
  <si>
    <t>120,0w</t>
  </si>
  <si>
    <t>125,0w</t>
  </si>
  <si>
    <t>280,0</t>
  </si>
  <si>
    <t>310,0</t>
  </si>
  <si>
    <t>Tulyakov Nikita</t>
  </si>
  <si>
    <t>2. Tulyakov Nikita</t>
  </si>
  <si>
    <t>Open (23.02.1988)/31</t>
  </si>
  <si>
    <t>118,80</t>
  </si>
  <si>
    <t>245,0</t>
  </si>
  <si>
    <t>172,5</t>
  </si>
  <si>
    <t>287,5</t>
  </si>
  <si>
    <t>Parfenova Mariya</t>
  </si>
  <si>
    <t>825,0</t>
  </si>
  <si>
    <t>437,9100</t>
  </si>
  <si>
    <t>762,5</t>
  </si>
  <si>
    <t>426,9237</t>
  </si>
  <si>
    <t>722,5</t>
  </si>
  <si>
    <t>381,5523</t>
  </si>
  <si>
    <t>502,5</t>
  </si>
  <si>
    <t>271,7018</t>
  </si>
  <si>
    <t>Masters 40-44</t>
  </si>
  <si>
    <t>652,5</t>
  </si>
  <si>
    <t>389,8454</t>
  </si>
  <si>
    <t>615,0</t>
  </si>
  <si>
    <t>371,1183</t>
  </si>
  <si>
    <t>560,0</t>
  </si>
  <si>
    <t>355,4102</t>
  </si>
  <si>
    <t>Body Weight Category  48</t>
  </si>
  <si>
    <t>Balyasina Evgeniya</t>
  </si>
  <si>
    <t>1. Balyasina Evgeniya</t>
  </si>
  <si>
    <t>Open (21.05.1989)/30</t>
  </si>
  <si>
    <t>46,40</t>
  </si>
  <si>
    <t>Body Weight Category  56</t>
  </si>
  <si>
    <t>Korolyova Anna</t>
  </si>
  <si>
    <t>1. Korolyova Anna</t>
  </si>
  <si>
    <t>Open (01.03.1984)/35</t>
  </si>
  <si>
    <t>55,00</t>
  </si>
  <si>
    <t>80,0w</t>
  </si>
  <si>
    <t>Body Weight Category  60</t>
  </si>
  <si>
    <t>Krasnova Nataliya</t>
  </si>
  <si>
    <t>1. Krasnova Nataliya</t>
  </si>
  <si>
    <t>Juniors 20-23 (30.07.1995)/23</t>
  </si>
  <si>
    <t>58,70</t>
  </si>
  <si>
    <t>75,0w</t>
  </si>
  <si>
    <t>85,0</t>
  </si>
  <si>
    <t>90,0w</t>
  </si>
  <si>
    <t>Faturova Alexandra</t>
  </si>
  <si>
    <t>1. Faturova Alexandra</t>
  </si>
  <si>
    <t>Open (10.06.1987)/31</t>
  </si>
  <si>
    <t>59,70</t>
  </si>
  <si>
    <t>95,0w</t>
  </si>
  <si>
    <t>Body Weight Category  75</t>
  </si>
  <si>
    <t>Solovyova Svetlana</t>
  </si>
  <si>
    <t>1. Solovyova Svetlana</t>
  </si>
  <si>
    <t>Masters 45-49 (16.06.1972)/46</t>
  </si>
  <si>
    <t>70,90</t>
  </si>
  <si>
    <t>Mardon</t>
  </si>
  <si>
    <t>105,0</t>
  </si>
  <si>
    <t>Shaeva Ekaterina</t>
  </si>
  <si>
    <t>-. Shaeva Ekaterina</t>
  </si>
  <si>
    <t>Sub Masters 33-39 (17.01.1985)/34</t>
  </si>
  <si>
    <t>79,70</t>
  </si>
  <si>
    <t>122,5</t>
  </si>
  <si>
    <t>Teryayev A.A.</t>
  </si>
  <si>
    <t>Borisov Ivan</t>
  </si>
  <si>
    <t>1. Borisov Ivan</t>
  </si>
  <si>
    <t>Teen 16-17 (08.06.2001)/17</t>
  </si>
  <si>
    <t>54,90</t>
  </si>
  <si>
    <t>RUS/Podolsk</t>
  </si>
  <si>
    <t>115,0</t>
  </si>
  <si>
    <t>Kostyrko Igor</t>
  </si>
  <si>
    <t>1. Kostyrko Igor</t>
  </si>
  <si>
    <t>Open (05.12.1986)/32</t>
  </si>
  <si>
    <t>66,60</t>
  </si>
  <si>
    <t>BLR/Gomel</t>
  </si>
  <si>
    <t>217,5</t>
  </si>
  <si>
    <t>Afanasiev Alexey</t>
  </si>
  <si>
    <t>1. Afanasiev Alexey</t>
  </si>
  <si>
    <t>Teen 18-19 (10.01.2000)/19</t>
  </si>
  <si>
    <t>80,60</t>
  </si>
  <si>
    <t>RUS/Barnaul</t>
  </si>
  <si>
    <t>Aliev Elnur</t>
  </si>
  <si>
    <t>1. Aliev Elnur</t>
  </si>
  <si>
    <t>Open (09.03.1982)/37</t>
  </si>
  <si>
    <t>81,80</t>
  </si>
  <si>
    <t>AZE/Azerbaydzhan</t>
  </si>
  <si>
    <t>Fominov Maksim</t>
  </si>
  <si>
    <t>2. Fominov Maksim</t>
  </si>
  <si>
    <t>Open (22.06.1989)/29</t>
  </si>
  <si>
    <t>78,80</t>
  </si>
  <si>
    <t>Sub Masters 33-39 (09.03.1982)/37</t>
  </si>
  <si>
    <t>Gorbunov Sergey</t>
  </si>
  <si>
    <t>1. Gorbunov Sergey</t>
  </si>
  <si>
    <t>Open (13.11.1991)/27</t>
  </si>
  <si>
    <t>88,90</t>
  </si>
  <si>
    <t>RUS/Drezna</t>
  </si>
  <si>
    <t>Dengub Anatoliy</t>
  </si>
  <si>
    <t>1. Dengub Anatoliy</t>
  </si>
  <si>
    <t>Teen 18-19 (08.12.1999)/19</t>
  </si>
  <si>
    <t>92,90</t>
  </si>
  <si>
    <t>RUS/Orel</t>
  </si>
  <si>
    <t>Kirillov Artyom</t>
  </si>
  <si>
    <t>1. Kirillov Artyom</t>
  </si>
  <si>
    <t>Juniors 20-23 (11.12.1998)/20</t>
  </si>
  <si>
    <t>202,5</t>
  </si>
  <si>
    <t>Klepalchenko Aleksandr</t>
  </si>
  <si>
    <t>1. Klepalchenko Aleksandr</t>
  </si>
  <si>
    <t>Masters 75-79 (09.02.1944)/75</t>
  </si>
  <si>
    <t>96,30</t>
  </si>
  <si>
    <t>Sevortyan Andrey</t>
  </si>
  <si>
    <t>1. Sevortyan Andrey</t>
  </si>
  <si>
    <t>Teen 16-17 (18.03.2002)/17</t>
  </si>
  <si>
    <t>107,90</t>
  </si>
  <si>
    <t>Mashoshin Oleg</t>
  </si>
  <si>
    <t>1. Mashoshin Oleg</t>
  </si>
  <si>
    <t>Open (21.02.1983)/36</t>
  </si>
  <si>
    <t>105,80</t>
  </si>
  <si>
    <t>222,5</t>
  </si>
  <si>
    <t>-. Maschoschin Oleg</t>
  </si>
  <si>
    <t>Gordienko Vitaliy</t>
  </si>
  <si>
    <t>1. Gordienko Vitaliy</t>
  </si>
  <si>
    <t>Sub Masters 33-39 (18.07.1980)/38</t>
  </si>
  <si>
    <t>103,70</t>
  </si>
  <si>
    <t>RUS/Chita</t>
  </si>
  <si>
    <t>Kolmakov Yuriy</t>
  </si>
  <si>
    <t>1. Kolmakov Yuriy</t>
  </si>
  <si>
    <t>Open (06.05.1983)/36</t>
  </si>
  <si>
    <t>124,00</t>
  </si>
  <si>
    <t>285,0</t>
  </si>
  <si>
    <t>305,0</t>
  </si>
  <si>
    <t>325,0</t>
  </si>
  <si>
    <t>60</t>
  </si>
  <si>
    <t>90,0</t>
  </si>
  <si>
    <t>78,8670</t>
  </si>
  <si>
    <t>48</t>
  </si>
  <si>
    <t>138,0730</t>
  </si>
  <si>
    <t>95,0</t>
  </si>
  <si>
    <t>82,0800</t>
  </si>
  <si>
    <t>56</t>
  </si>
  <si>
    <t>80,0</t>
  </si>
  <si>
    <t>73,9920</t>
  </si>
  <si>
    <t>75</t>
  </si>
  <si>
    <t>84,3184</t>
  </si>
  <si>
    <t>Teen</t>
  </si>
  <si>
    <t>Teen 16-17</t>
  </si>
  <si>
    <t>107,3160</t>
  </si>
  <si>
    <t>Teen 18-19</t>
  </si>
  <si>
    <t>100,5725</t>
  </si>
  <si>
    <t>99,7520</t>
  </si>
  <si>
    <t>94,4250</t>
  </si>
  <si>
    <t>102,4900</t>
  </si>
  <si>
    <t>169,7800</t>
  </si>
  <si>
    <t>154,2870</t>
  </si>
  <si>
    <t>153,3220</t>
  </si>
  <si>
    <t>137,5785</t>
  </si>
  <si>
    <t>137,0600</t>
  </si>
  <si>
    <t>116,6160</t>
  </si>
  <si>
    <t>Sub</t>
  </si>
  <si>
    <t>Sub Masters 33-39</t>
  </si>
  <si>
    <t>125,6030</t>
  </si>
  <si>
    <t>Masters 75-79</t>
  </si>
  <si>
    <t>199,6826</t>
  </si>
  <si>
    <t>1. Shaeva Ekaterina</t>
  </si>
  <si>
    <t>Open (17.01.1985)/34</t>
  </si>
  <si>
    <t>79,10</t>
  </si>
  <si>
    <t>110,0w</t>
  </si>
  <si>
    <t>115,0w</t>
  </si>
  <si>
    <t>79,8445</t>
  </si>
  <si>
    <t>Mansurova Sabina</t>
  </si>
  <si>
    <t>1. Mansurova Sabina</t>
  </si>
  <si>
    <t>Teen 13-15 (03.09.2005)/13</t>
  </si>
  <si>
    <t>44,20</t>
  </si>
  <si>
    <t>42,5w</t>
  </si>
  <si>
    <t>47,5</t>
  </si>
  <si>
    <t>65,0</t>
  </si>
  <si>
    <t>70,0</t>
  </si>
  <si>
    <t>Body Weight Category  52</t>
  </si>
  <si>
    <t>Chernyavskaya Tatyana</t>
  </si>
  <si>
    <t>1. Chernyavskaya Tatyana</t>
  </si>
  <si>
    <t>50,70</t>
  </si>
  <si>
    <t>32,5w</t>
  </si>
  <si>
    <t>40,0</t>
  </si>
  <si>
    <t>40,0w</t>
  </si>
  <si>
    <t>Ushakova Olga</t>
  </si>
  <si>
    <t>1. Ushakova Olga</t>
  </si>
  <si>
    <t>Masters 50-54 (07.06.1967)/51</t>
  </si>
  <si>
    <t>51,00</t>
  </si>
  <si>
    <t>27,5</t>
  </si>
  <si>
    <t>30,0</t>
  </si>
  <si>
    <t>32,5</t>
  </si>
  <si>
    <t>Kalinberg Aleksandra</t>
  </si>
  <si>
    <t>1. Kalinberg Aleksandra</t>
  </si>
  <si>
    <t>Open (27.10.1988)/30</t>
  </si>
  <si>
    <t>54,60</t>
  </si>
  <si>
    <t>Filipchuk Ivan</t>
  </si>
  <si>
    <t>1. Filipchuk Ivan</t>
  </si>
  <si>
    <t>Teen 16-17 (25.03.2003)/16</t>
  </si>
  <si>
    <t>62,70</t>
  </si>
  <si>
    <t>RUS/Svobodnyy</t>
  </si>
  <si>
    <t>100,0w</t>
  </si>
  <si>
    <t>Kachlaev Grigoriy</t>
  </si>
  <si>
    <t>2. Kachlaev Grigoriy</t>
  </si>
  <si>
    <t>Teen 16-17 (10.04.2002)/17</t>
  </si>
  <si>
    <t>65,20</t>
  </si>
  <si>
    <t>107,5</t>
  </si>
  <si>
    <t>Sivak Maksim</t>
  </si>
  <si>
    <t>1. Sivak Maksim</t>
  </si>
  <si>
    <t>Juniors 20-23 (17.04.1996)/23</t>
  </si>
  <si>
    <t>66,00</t>
  </si>
  <si>
    <t>RUS/Kubinka</t>
  </si>
  <si>
    <t>Kantsurov Sergey</t>
  </si>
  <si>
    <t>1. Kantsurov Sergey</t>
  </si>
  <si>
    <t>Open (14.03.1991)/28</t>
  </si>
  <si>
    <t>65,40</t>
  </si>
  <si>
    <t>Lozheschnikov Sergey</t>
  </si>
  <si>
    <t>1. Lozheschnikov Sergey</t>
  </si>
  <si>
    <t>Masters 40-44 (09.07.1978)/40</t>
  </si>
  <si>
    <t>66,10</t>
  </si>
  <si>
    <t>107,5w</t>
  </si>
  <si>
    <t>Mikryukov Sergey</t>
  </si>
  <si>
    <t>1. Mikryukov Sergey</t>
  </si>
  <si>
    <t>Juniors 20-23 (06.09.1996)/22</t>
  </si>
  <si>
    <t>74,60</t>
  </si>
  <si>
    <t>RUS/Konakovo</t>
  </si>
  <si>
    <t>135,0w</t>
  </si>
  <si>
    <t>Kalinichenko Alexandr</t>
  </si>
  <si>
    <t>2. Kalinichenko Alexandr</t>
  </si>
  <si>
    <t>Juniors 20-23 (27.06.1998)/20</t>
  </si>
  <si>
    <t>73,30</t>
  </si>
  <si>
    <t>RUS/Primorsko-Akhtarsk</t>
  </si>
  <si>
    <t>117,5</t>
  </si>
  <si>
    <t>Minin Dmitriy</t>
  </si>
  <si>
    <t>1. Minin Dmitriy</t>
  </si>
  <si>
    <t>Open (13.05.1981)/38</t>
  </si>
  <si>
    <t>74,40</t>
  </si>
  <si>
    <t>127,5w</t>
  </si>
  <si>
    <t>137,5</t>
  </si>
  <si>
    <t>2. Bobkin Stanislav</t>
  </si>
  <si>
    <t>Open (17.12.1986)/32</t>
  </si>
  <si>
    <t>3. Kulichenko Maksim</t>
  </si>
  <si>
    <t>Open (03.07.1994)/24</t>
  </si>
  <si>
    <t>72,10</t>
  </si>
  <si>
    <t>110,0</t>
  </si>
  <si>
    <t>-. Smarnov Vadim</t>
  </si>
  <si>
    <t>Open (22.05.1989)/30</t>
  </si>
  <si>
    <t>BLR/Mogilev</t>
  </si>
  <si>
    <t>135,0</t>
  </si>
  <si>
    <t>Meleshin Dmitriy</t>
  </si>
  <si>
    <t>1. Meleshin Dmitriy</t>
  </si>
  <si>
    <t>Masters 40-44 (06.09.1978)/40</t>
  </si>
  <si>
    <t>73,40</t>
  </si>
  <si>
    <t>Butrinov Evgeniy</t>
  </si>
  <si>
    <t>1. Butrinov Evgeniy</t>
  </si>
  <si>
    <t>Juniors 20-23 (21.02.1996)/23</t>
  </si>
  <si>
    <t>78,20</t>
  </si>
  <si>
    <t>RUS/Balashov</t>
  </si>
  <si>
    <t>Chernyavskiy Timofey</t>
  </si>
  <si>
    <t>1. Chernyavskiy Timofey</t>
  </si>
  <si>
    <t>Open (08.09.1985)/33</t>
  </si>
  <si>
    <t>80,90</t>
  </si>
  <si>
    <t>Shestakov Aleksey</t>
  </si>
  <si>
    <t>2. Shestakov Aleksey</t>
  </si>
  <si>
    <t>Open (04.04.1993)/26</t>
  </si>
  <si>
    <t>79,40</t>
  </si>
  <si>
    <t>Gurkovskiy Sergey</t>
  </si>
  <si>
    <t>3. Gurkovskiy Sergey</t>
  </si>
  <si>
    <t>Open (17.08.1990)/28</t>
  </si>
  <si>
    <t>81,10</t>
  </si>
  <si>
    <t>Novikov Petr</t>
  </si>
  <si>
    <t>4. Novikov Petr</t>
  </si>
  <si>
    <t>Open (05.12.1992)/26</t>
  </si>
  <si>
    <t>Smirnov D.V.</t>
  </si>
  <si>
    <t>Fedotov Maksim</t>
  </si>
  <si>
    <t>5. Fedotov Maksim</t>
  </si>
  <si>
    <t>Open (15.07.1993)/25</t>
  </si>
  <si>
    <t>Amirov Stanislav</t>
  </si>
  <si>
    <t>6. Amirov Stanislav</t>
  </si>
  <si>
    <t>Open (13.06.1989)/29</t>
  </si>
  <si>
    <t>80,10</t>
  </si>
  <si>
    <t>Afanasev Ivan</t>
  </si>
  <si>
    <t>7. Afanasev Ivan</t>
  </si>
  <si>
    <t>Open (26.12.1992)/26</t>
  </si>
  <si>
    <t>79,80</t>
  </si>
  <si>
    <t>Saitgareev Timur</t>
  </si>
  <si>
    <t>8. Saitgareev Timur</t>
  </si>
  <si>
    <t>Open (14.03.1988)/31</t>
  </si>
  <si>
    <t>-. Kapustin Andrey</t>
  </si>
  <si>
    <t>Open (21.11.1982)/36</t>
  </si>
  <si>
    <t>81,90</t>
  </si>
  <si>
    <t>Komissarov Ruslan</t>
  </si>
  <si>
    <t>1. Komissarov Ruslan</t>
  </si>
  <si>
    <t>Juniors 20-23 (30.03.1997)/22</t>
  </si>
  <si>
    <t>88,30</t>
  </si>
  <si>
    <t>RUS/Lyubertsy</t>
  </si>
  <si>
    <t>152,5</t>
  </si>
  <si>
    <t>Volkov Vyacheslav</t>
  </si>
  <si>
    <t>1. Volkov Vyacheslav</t>
  </si>
  <si>
    <t>Open (13.11.1971)/47</t>
  </si>
  <si>
    <t>89,30</t>
  </si>
  <si>
    <t>Taldikin Alexey</t>
  </si>
  <si>
    <t>2. Taldikin Alexey</t>
  </si>
  <si>
    <t>Open (29.03.1980)/39</t>
  </si>
  <si>
    <t>88,10</t>
  </si>
  <si>
    <t>RUS/Lipetsk</t>
  </si>
  <si>
    <t>Savelev Egor</t>
  </si>
  <si>
    <t>3. Savelev Egor</t>
  </si>
  <si>
    <t>Open (01.09.1990)/28</t>
  </si>
  <si>
    <t>88,60</t>
  </si>
  <si>
    <t>167,5</t>
  </si>
  <si>
    <t>Chernyavskiy Dmitriy</t>
  </si>
  <si>
    <t>4. Chernyavskiy Dmitriy</t>
  </si>
  <si>
    <t>87,50</t>
  </si>
  <si>
    <t>5. Guyvan Aleksandr</t>
  </si>
  <si>
    <t>Open (13.08.1989)/29</t>
  </si>
  <si>
    <t>6. Kartofelev Evgeniy</t>
  </si>
  <si>
    <t>Open (05.12.1981)/37</t>
  </si>
  <si>
    <t>85,30</t>
  </si>
  <si>
    <t>-. Kudinov Andrey</t>
  </si>
  <si>
    <t>Open (15.04.1980)/39</t>
  </si>
  <si>
    <t>Davydov Nikolay</t>
  </si>
  <si>
    <t>1. Davydov Nikolay</t>
  </si>
  <si>
    <t>Masters 40-44 (17.03.1979)/40</t>
  </si>
  <si>
    <t>87,70</t>
  </si>
  <si>
    <t>152,5w</t>
  </si>
  <si>
    <t>Zavyaliv Aleksandr</t>
  </si>
  <si>
    <t>2. Zavyaliv Aleksandr</t>
  </si>
  <si>
    <t>Masters 40-44 (03.10.1975)/43</t>
  </si>
  <si>
    <t>87,30</t>
  </si>
  <si>
    <t>Masters 45-49 (13.11.1971)/47</t>
  </si>
  <si>
    <t>Khorkhordin Igor</t>
  </si>
  <si>
    <t>1. Khorkhordin Igor</t>
  </si>
  <si>
    <t>Masters 50-54 (15.06.1967)/51</t>
  </si>
  <si>
    <t>Minin Andrey</t>
  </si>
  <si>
    <t>1. Minin Andrey</t>
  </si>
  <si>
    <t>Open (16.04.1976)/43</t>
  </si>
  <si>
    <t>96,90</t>
  </si>
  <si>
    <t>Zhukov Evgeniy</t>
  </si>
  <si>
    <t>2. Zhukov Evgeniy</t>
  </si>
  <si>
    <t>Open (03.07.1990)/28</t>
  </si>
  <si>
    <t>99,90</t>
  </si>
  <si>
    <t>147,5</t>
  </si>
  <si>
    <t>Kobzev Maksim</t>
  </si>
  <si>
    <t>3. Kobzev Maksim</t>
  </si>
  <si>
    <t>Open (17.01.1990)/29</t>
  </si>
  <si>
    <t>98,30</t>
  </si>
  <si>
    <t>Masters 40-44 (16.04.1976)/43</t>
  </si>
  <si>
    <t>Belov Sergey</t>
  </si>
  <si>
    <t>1. Belov Sergey</t>
  </si>
  <si>
    <t>Masters 45-49 (15.05.1973)/46</t>
  </si>
  <si>
    <t>92,30</t>
  </si>
  <si>
    <t>RUS/Troitsk</t>
  </si>
  <si>
    <t>Kalinovskiy Dmitriy</t>
  </si>
  <si>
    <t>1. Kalinovskiy Dmitriy</t>
  </si>
  <si>
    <t>Masters 50-54 (27.04.1967)/52</t>
  </si>
  <si>
    <t>93,60</t>
  </si>
  <si>
    <t>105,0w</t>
  </si>
  <si>
    <t>112,5w</t>
  </si>
  <si>
    <t>Smirnov Leonid</t>
  </si>
  <si>
    <t>1. Smirnov Leonid</t>
  </si>
  <si>
    <t>Masters 60-64 (26.09.1957)/61</t>
  </si>
  <si>
    <t>95,00</t>
  </si>
  <si>
    <t>122,5w</t>
  </si>
  <si>
    <t>Mantserov Aleksandr</t>
  </si>
  <si>
    <t>1. Mantserov Aleksandr</t>
  </si>
  <si>
    <t>Open (13.06.1983)/35</t>
  </si>
  <si>
    <t>108,50</t>
  </si>
  <si>
    <t>Bulgak Viorel</t>
  </si>
  <si>
    <t>2. Bulgak Viorel</t>
  </si>
  <si>
    <t>Open (10.10.1985)/33</t>
  </si>
  <si>
    <t>109,40</t>
  </si>
  <si>
    <t>205,0</t>
  </si>
  <si>
    <t>Namazov Ruslan</t>
  </si>
  <si>
    <t>3. Namazov Ruslan</t>
  </si>
  <si>
    <t>Open (07.01.1994)/25</t>
  </si>
  <si>
    <t>RUS/Odintsovo</t>
  </si>
  <si>
    <t>Grachev Vadim</t>
  </si>
  <si>
    <t>4. Grachev Vadim</t>
  </si>
  <si>
    <t>Open (19.08.1986)/32</t>
  </si>
  <si>
    <t>106,70</t>
  </si>
  <si>
    <t>Briykin Maksim</t>
  </si>
  <si>
    <t>5. Briykin Maksim</t>
  </si>
  <si>
    <t>Open (16.10.1985)/33</t>
  </si>
  <si>
    <t>108,60</t>
  </si>
  <si>
    <t>RUS/Shuya</t>
  </si>
  <si>
    <t>6. Mashoshin Oleg</t>
  </si>
  <si>
    <t>137,5w</t>
  </si>
  <si>
    <t>187,5</t>
  </si>
  <si>
    <t>Kolabin Aleksandr</t>
  </si>
  <si>
    <t>1. Kolabin Aleksandr</t>
  </si>
  <si>
    <t>Open (01.05.1991)/28</t>
  </si>
  <si>
    <t>119,00</t>
  </si>
  <si>
    <t>177,5w</t>
  </si>
  <si>
    <t>182,5w</t>
  </si>
  <si>
    <t>Mosia Revazi</t>
  </si>
  <si>
    <t>2. Mosia Revazi</t>
  </si>
  <si>
    <t>Open (23.09.1989)/29</t>
  </si>
  <si>
    <t>122,10</t>
  </si>
  <si>
    <t>GEO/Gruziya</t>
  </si>
  <si>
    <t>Silinenkov Roman</t>
  </si>
  <si>
    <t>1. Silinenkov Roman</t>
  </si>
  <si>
    <t>Masters 40-44 (27.01.1978)/41</t>
  </si>
  <si>
    <t>Rodnikov Anton</t>
  </si>
  <si>
    <t>2. Rodnikov Anton</t>
  </si>
  <si>
    <t>Masters 40-44 (23.08.1976)/42</t>
  </si>
  <si>
    <t>115,60</t>
  </si>
  <si>
    <t>Usoltsev Evgeniy</t>
  </si>
  <si>
    <t>1. Usoltsev Evgeniy</t>
  </si>
  <si>
    <t>Masters 45-49 (01.02.1970)/49</t>
  </si>
  <si>
    <t>121,50</t>
  </si>
  <si>
    <t>Bichkov Igor</t>
  </si>
  <si>
    <t>2. Bichkov Igor</t>
  </si>
  <si>
    <t>Masters 45-49 (18.06.1970)/48</t>
  </si>
  <si>
    <t>117,40</t>
  </si>
  <si>
    <t>177,5</t>
  </si>
  <si>
    <t>Body Weight Category  140</t>
  </si>
  <si>
    <t>Chubarov Vladimir</t>
  </si>
  <si>
    <t>1. Chubarov Vladimir</t>
  </si>
  <si>
    <t>Masters 55-59 (03.04.1964)/55</t>
  </si>
  <si>
    <t>129,70</t>
  </si>
  <si>
    <t>Teen 13-15</t>
  </si>
  <si>
    <t>42,5</t>
  </si>
  <si>
    <t>46,9157</t>
  </si>
  <si>
    <t>52</t>
  </si>
  <si>
    <t>39,5520</t>
  </si>
  <si>
    <t>69,0365</t>
  </si>
  <si>
    <t>30,2412</t>
  </si>
  <si>
    <t>Masters 50-54</t>
  </si>
  <si>
    <t>38,5039</t>
  </si>
  <si>
    <t>85,5470</t>
  </si>
  <si>
    <t>74,9200</t>
  </si>
  <si>
    <t>93,3220</t>
  </si>
  <si>
    <t>90,0855</t>
  </si>
  <si>
    <t>88,8960</t>
  </si>
  <si>
    <t>84,5875</t>
  </si>
  <si>
    <t>82,9080</t>
  </si>
  <si>
    <t>120,8730</t>
  </si>
  <si>
    <t>114,4100</t>
  </si>
  <si>
    <t>113,0220</t>
  </si>
  <si>
    <t>110,1260</t>
  </si>
  <si>
    <t>105,8580</t>
  </si>
  <si>
    <t>101,8240</t>
  </si>
  <si>
    <t>100,8100</t>
  </si>
  <si>
    <t>100,3010</t>
  </si>
  <si>
    <t>100,2880</t>
  </si>
  <si>
    <t>97,0880</t>
  </si>
  <si>
    <t>94,5600</t>
  </si>
  <si>
    <t>93,3875</t>
  </si>
  <si>
    <t>93,2708</t>
  </si>
  <si>
    <t>91,2050</t>
  </si>
  <si>
    <t>90,8860</t>
  </si>
  <si>
    <t>90,2745</t>
  </si>
  <si>
    <t>86,9550</t>
  </si>
  <si>
    <t>83,3840</t>
  </si>
  <si>
    <t>82,5025</t>
  </si>
  <si>
    <t>82,4330</t>
  </si>
  <si>
    <t>81,7700</t>
  </si>
  <si>
    <t>81,7593</t>
  </si>
  <si>
    <t>80,9535</t>
  </si>
  <si>
    <t>80,7300</t>
  </si>
  <si>
    <t>106,4895</t>
  </si>
  <si>
    <t>123,0487</t>
  </si>
  <si>
    <t>119,2676</t>
  </si>
  <si>
    <t>118,2443</t>
  </si>
  <si>
    <t>115,5969</t>
  </si>
  <si>
    <t>140</t>
  </si>
  <si>
    <t>113,8003</t>
  </si>
  <si>
    <t>106,7080</t>
  </si>
  <si>
    <t>103,4649</t>
  </si>
  <si>
    <t>99,8015</t>
  </si>
  <si>
    <t>98,1255</t>
  </si>
  <si>
    <t>91,0653</t>
  </si>
  <si>
    <t>86,3239</t>
  </si>
  <si>
    <t>85,0770</t>
  </si>
  <si>
    <t>112,5</t>
  </si>
  <si>
    <t>79,7715</t>
  </si>
  <si>
    <t>75,9046</t>
  </si>
  <si>
    <t>70,9800</t>
  </si>
  <si>
    <t>Lukyanova Marina</t>
  </si>
  <si>
    <t>1. Lukyanova Marina</t>
  </si>
  <si>
    <t>Open (09.02.1972)/47</t>
  </si>
  <si>
    <t>63,90</t>
  </si>
  <si>
    <t>93,8285</t>
  </si>
  <si>
    <t>Umerenkova Yulia</t>
  </si>
  <si>
    <t>1. Umerenkova Yulia</t>
  </si>
  <si>
    <t>Open (10.12.1980)/38</t>
  </si>
  <si>
    <t>71,70</t>
  </si>
  <si>
    <t>RUS/Kursk</t>
  </si>
  <si>
    <t>Sub Masters 33-39 (10.12.1980)/38</t>
  </si>
  <si>
    <t>100,6155</t>
  </si>
  <si>
    <t>Polkhova Victoriya</t>
  </si>
  <si>
    <t>1. Polkhova Victoriya</t>
  </si>
  <si>
    <t>Juniors 20-23 (22.07.1995)/23</t>
  </si>
  <si>
    <t>54,40</t>
  </si>
  <si>
    <t>50,0</t>
  </si>
  <si>
    <t>50,0w</t>
  </si>
  <si>
    <t>60,0w</t>
  </si>
  <si>
    <t>37,5w</t>
  </si>
  <si>
    <t>70,0w</t>
  </si>
  <si>
    <t>Zabrodskaya Yana</t>
  </si>
  <si>
    <t>1. Zabrodskaya Yana</t>
  </si>
  <si>
    <t>Open (04.02.1990)/29</t>
  </si>
  <si>
    <t>97,5</t>
  </si>
  <si>
    <t>57,5w</t>
  </si>
  <si>
    <t>62,5w</t>
  </si>
  <si>
    <t>132,5w</t>
  </si>
  <si>
    <t>Kotova Natalia</t>
  </si>
  <si>
    <t>1. Kotova Natalia</t>
  </si>
  <si>
    <t>Open (17.09.1993)/25</t>
  </si>
  <si>
    <t>67,30</t>
  </si>
  <si>
    <t>RUS/Dzerzhinskiy</t>
  </si>
  <si>
    <t>92,5w</t>
  </si>
  <si>
    <t>45,0w</t>
  </si>
  <si>
    <t>52,5w</t>
  </si>
  <si>
    <t>55,0</t>
  </si>
  <si>
    <t>Kolesnikova Tatyana</t>
  </si>
  <si>
    <t>1. Kolesnikova Tatyana</t>
  </si>
  <si>
    <t>Masters 40-44 (17.03.1978)/41</t>
  </si>
  <si>
    <t>61,70</t>
  </si>
  <si>
    <t>RUS/Voronezh</t>
  </si>
  <si>
    <t>75,0</t>
  </si>
  <si>
    <t>45,0</t>
  </si>
  <si>
    <t>102,5</t>
  </si>
  <si>
    <t>Stepanenkova Evgeniya</t>
  </si>
  <si>
    <t>1. Stepanenkova Evgeniya</t>
  </si>
  <si>
    <t>Open (01.07.1980)/38</t>
  </si>
  <si>
    <t>72,30</t>
  </si>
  <si>
    <t>RUS/Murmansk</t>
  </si>
  <si>
    <t>55,0w</t>
  </si>
  <si>
    <t>60,0</t>
  </si>
  <si>
    <t>Kurdyukova Ekaterina</t>
  </si>
  <si>
    <t>1. Kurdyukova Ekaterina</t>
  </si>
  <si>
    <t>Open (07.10.1981)/37</t>
  </si>
  <si>
    <t>79,50</t>
  </si>
  <si>
    <t>57,5</t>
  </si>
  <si>
    <t>Chubatiy Evgeniy</t>
  </si>
  <si>
    <t>1. Chubatiy Evgeniy</t>
  </si>
  <si>
    <t>Open (07.11.1990)/28</t>
  </si>
  <si>
    <t>RUS/Spassk-Dalniy</t>
  </si>
  <si>
    <t>Zhukov Denis</t>
  </si>
  <si>
    <t>1. Zhukov Denis</t>
  </si>
  <si>
    <t>Juniors 20-23 (04.05.1997)/22</t>
  </si>
  <si>
    <t>75,00</t>
  </si>
  <si>
    <t>82,5</t>
  </si>
  <si>
    <t>87,5</t>
  </si>
  <si>
    <t>Drozdov Nikita</t>
  </si>
  <si>
    <t>1. Drozdov Nikita</t>
  </si>
  <si>
    <t>Open (18.01.1987)/32</t>
  </si>
  <si>
    <t>Voyno Alexandr</t>
  </si>
  <si>
    <t>2. Voyno Alexandr</t>
  </si>
  <si>
    <t>Open (23.11.1980)/38</t>
  </si>
  <si>
    <t>Migulev Aleksey</t>
  </si>
  <si>
    <t>1. Migulev Aleksey</t>
  </si>
  <si>
    <t>Open (20.10.1987)/31</t>
  </si>
  <si>
    <t>Savelev Denis</t>
  </si>
  <si>
    <t>2. Savelev Denis</t>
  </si>
  <si>
    <t>Open (14.03.1983)/36</t>
  </si>
  <si>
    <t>Shchekotov Igor</t>
  </si>
  <si>
    <t>3. Shchekotov Igor</t>
  </si>
  <si>
    <t>Open (12.03.1987)/32</t>
  </si>
  <si>
    <t>Kaminskiy Evgeniy</t>
  </si>
  <si>
    <t>1. Kaminskiy Evgeniy</t>
  </si>
  <si>
    <t>Open (07.06.1991)/27</t>
  </si>
  <si>
    <t>98,40</t>
  </si>
  <si>
    <t>232,5w</t>
  </si>
  <si>
    <t>255,0w</t>
  </si>
  <si>
    <t>Surin Ivan</t>
  </si>
  <si>
    <t>2. Surin Ivan</t>
  </si>
  <si>
    <t>Open (05.07.1990)/28</t>
  </si>
  <si>
    <t>96,50</t>
  </si>
  <si>
    <t>RUS/Klin</t>
  </si>
  <si>
    <t>162,5w</t>
  </si>
  <si>
    <t>Ilyushenko Aleksey</t>
  </si>
  <si>
    <t>3. Ilyushenko Aleksey</t>
  </si>
  <si>
    <t>Open (02.11.1979)/39</t>
  </si>
  <si>
    <t>97,20</t>
  </si>
  <si>
    <t>RUS/Dolgoprudnyy</t>
  </si>
  <si>
    <t>-. Sevortyan Andrey</t>
  </si>
  <si>
    <t>Bespalko Daniil</t>
  </si>
  <si>
    <t>1. Bespalko Daniil</t>
  </si>
  <si>
    <t>Teen 18-19 (20.02.2001)/18</t>
  </si>
  <si>
    <t>77,5w</t>
  </si>
  <si>
    <t>87,5w</t>
  </si>
  <si>
    <t>172,5w</t>
  </si>
  <si>
    <t>Alborov Levan</t>
  </si>
  <si>
    <t>1. Alborov Levan</t>
  </si>
  <si>
    <t>Open (03.04.1986)/33</t>
  </si>
  <si>
    <t>240,0</t>
  </si>
  <si>
    <t>Kuznetsov Ivan</t>
  </si>
  <si>
    <t>2. Kuznetsov Ivan</t>
  </si>
  <si>
    <t>Open (16.11.1984)/34</t>
  </si>
  <si>
    <t>102,80</t>
  </si>
  <si>
    <t>Elistratov Vladimir</t>
  </si>
  <si>
    <t>1. Elistratov Vladimir</t>
  </si>
  <si>
    <t>Open (08.09.1993)/25</t>
  </si>
  <si>
    <t>119,30</t>
  </si>
  <si>
    <t>RUS/Serpukhov</t>
  </si>
  <si>
    <t>305,0w</t>
  </si>
  <si>
    <t>310,0w</t>
  </si>
  <si>
    <t>290,0w</t>
  </si>
  <si>
    <t>Ivanov Vladimir</t>
  </si>
  <si>
    <t>2. Ivanov Vladimir</t>
  </si>
  <si>
    <t>Open (19.01.1988)/31</t>
  </si>
  <si>
    <t>112,80</t>
  </si>
  <si>
    <t>RUS/Gorkiy</t>
  </si>
  <si>
    <t>Smirnov D.I</t>
  </si>
  <si>
    <t>160,9943</t>
  </si>
  <si>
    <t>263,5965</t>
  </si>
  <si>
    <t>317,5</t>
  </si>
  <si>
    <t>219,6147</t>
  </si>
  <si>
    <t>201,0303</t>
  </si>
  <si>
    <t>196,3385</t>
  </si>
  <si>
    <t>183,3354</t>
  </si>
  <si>
    <t>442,5</t>
  </si>
  <si>
    <t>237,7552</t>
  </si>
  <si>
    <t>332,5</t>
  </si>
  <si>
    <t>220,9462</t>
  </si>
  <si>
    <t>755,0</t>
  </si>
  <si>
    <t>398,3380</t>
  </si>
  <si>
    <t>647,5</t>
  </si>
  <si>
    <t>361,3697</t>
  </si>
  <si>
    <t>625,0</t>
  </si>
  <si>
    <t>352,0625</t>
  </si>
  <si>
    <t>585,0</t>
  </si>
  <si>
    <t>345,4425</t>
  </si>
  <si>
    <t>447,5</t>
  </si>
  <si>
    <t>334,3272</t>
  </si>
  <si>
    <t>620,0</t>
  </si>
  <si>
    <t>332,8160</t>
  </si>
  <si>
    <t>532,5</t>
  </si>
  <si>
    <t>314,4412</t>
  </si>
  <si>
    <t>520,0</t>
  </si>
  <si>
    <t>309,7120</t>
  </si>
  <si>
    <t>291,7568</t>
  </si>
  <si>
    <t>435,0</t>
  </si>
  <si>
    <t>272,6580</t>
  </si>
  <si>
    <t>467,5</t>
  </si>
  <si>
    <t>262,4077</t>
  </si>
  <si>
    <t>410,0</t>
  </si>
  <si>
    <t>256,9880</t>
  </si>
  <si>
    <t>452,5</t>
  </si>
  <si>
    <t>241,3635</t>
  </si>
  <si>
    <t>Gloss</t>
  </si>
  <si>
    <t>86,30</t>
  </si>
  <si>
    <t>20,0</t>
  </si>
  <si>
    <t>25,0</t>
  </si>
  <si>
    <t>Izhikov Filipp</t>
  </si>
  <si>
    <t>1. Izhikov Filipp</t>
  </si>
  <si>
    <t>Masters 40-49 (30.10.1975)/43</t>
  </si>
  <si>
    <t>101,20</t>
  </si>
  <si>
    <t>28,0</t>
  </si>
  <si>
    <t>Masters 40-49 (28.03.1972)/47</t>
  </si>
  <si>
    <t>19,0</t>
  </si>
  <si>
    <t>Masters 40-49</t>
  </si>
  <si>
    <t>2870,0</t>
  </si>
  <si>
    <t>1711,7641</t>
  </si>
  <si>
    <t>2090,0</t>
  </si>
  <si>
    <t>1274,2876</t>
  </si>
  <si>
    <t>Bench press for rpt.</t>
  </si>
  <si>
    <t>Weight</t>
  </si>
  <si>
    <t>Rpt</t>
  </si>
  <si>
    <t>Chernikov Oleg</t>
  </si>
  <si>
    <t>1. Chernikov Oleg</t>
  </si>
  <si>
    <t>Open (11.04.1992)/27</t>
  </si>
  <si>
    <t>68,90</t>
  </si>
  <si>
    <t>27,0</t>
  </si>
  <si>
    <t>2. Minin Dmitriy</t>
  </si>
  <si>
    <t>Dobryinin Yuriy</t>
  </si>
  <si>
    <t>3. Dobryinin Yuriy</t>
  </si>
  <si>
    <t>Open (17.02.1971)/48</t>
  </si>
  <si>
    <t>72,70</t>
  </si>
  <si>
    <t>22,0</t>
  </si>
  <si>
    <t>Kalinin Sergey</t>
  </si>
  <si>
    <t>1. Kalinin Sergey</t>
  </si>
  <si>
    <t>Masters 40-49 (19.11.1975)/43</t>
  </si>
  <si>
    <t>74,30</t>
  </si>
  <si>
    <t>34,0</t>
  </si>
  <si>
    <t>2. Dobryinin Yuriy</t>
  </si>
  <si>
    <t>Masters 40-49 (17.02.1971)/48</t>
  </si>
  <si>
    <t>33,0</t>
  </si>
  <si>
    <t>2. Gurkovskiy Sergey</t>
  </si>
  <si>
    <t>31,0</t>
  </si>
  <si>
    <t>3. Saitgareev Timur</t>
  </si>
  <si>
    <t>21,0</t>
  </si>
  <si>
    <t>1. Taldikin Alexey</t>
  </si>
  <si>
    <t>32,0</t>
  </si>
  <si>
    <t>Mikhaylov Nikolay</t>
  </si>
  <si>
    <t>2. Mikhaylov Nikolay</t>
  </si>
  <si>
    <t>Open (29.01.1989)/30</t>
  </si>
  <si>
    <t>RUS/Zvenigorod</t>
  </si>
  <si>
    <t>3. Chernyavskiy Dmitriy</t>
  </si>
  <si>
    <t>23,0</t>
  </si>
  <si>
    <t>1. Zavyaliv Aleksandr</t>
  </si>
  <si>
    <t>Masters 40-49 (03.10.1975)/43</t>
  </si>
  <si>
    <t>Masters 40-49 (16.04.1976)/43</t>
  </si>
  <si>
    <t>Masters 60+ (26.09.1957)/61</t>
  </si>
  <si>
    <t>12,0</t>
  </si>
  <si>
    <t>Open (18.07.1980)/38</t>
  </si>
  <si>
    <t>29,0</t>
  </si>
  <si>
    <t>2. Mantserov Aleksandr</t>
  </si>
  <si>
    <t>Andronov Alexandr</t>
  </si>
  <si>
    <t>1. Andronov Alexandr</t>
  </si>
  <si>
    <t>Masters 40-49 (03.11.1977)/41</t>
  </si>
  <si>
    <t>102,30</t>
  </si>
  <si>
    <t>1300,0</t>
  </si>
  <si>
    <t>1220,9600</t>
  </si>
  <si>
    <t>2880,0</t>
  </si>
  <si>
    <t>1783,4400</t>
  </si>
  <si>
    <t>2722,5</t>
  </si>
  <si>
    <t>1777,5202</t>
  </si>
  <si>
    <t>3045,0</t>
  </si>
  <si>
    <t>1745,2417</t>
  </si>
  <si>
    <t>3080,0</t>
  </si>
  <si>
    <t>1739,2760</t>
  </si>
  <si>
    <t>2557,5</t>
  </si>
  <si>
    <t>1667,1063</t>
  </si>
  <si>
    <t>2450,0</t>
  </si>
  <si>
    <t>1535,7825</t>
  </si>
  <si>
    <t>1890,0</t>
  </si>
  <si>
    <t>1390,4730</t>
  </si>
  <si>
    <t>1875,0</t>
  </si>
  <si>
    <t>1298,7188</t>
  </si>
  <si>
    <t>2012,5</t>
  </si>
  <si>
    <t>1251,2719</t>
  </si>
  <si>
    <t>1650,0</t>
  </si>
  <si>
    <t>1163,0025</t>
  </si>
  <si>
    <t>1732,5</t>
  </si>
  <si>
    <t>1133,0550</t>
  </si>
  <si>
    <t>3382,5</t>
  </si>
  <si>
    <t>1967,9740</t>
  </si>
  <si>
    <t>3100,0</t>
  </si>
  <si>
    <t>1883,7813</t>
  </si>
  <si>
    <t>2550,0</t>
  </si>
  <si>
    <t>1822,8519</t>
  </si>
  <si>
    <t>1275,8138</t>
  </si>
  <si>
    <t>1662,5</t>
  </si>
  <si>
    <t>1067,1598</t>
  </si>
  <si>
    <t>Masters 60+</t>
  </si>
  <si>
    <t>1140,0</t>
  </si>
  <si>
    <t>926,4021</t>
  </si>
  <si>
    <t>17,0</t>
  </si>
  <si>
    <t>528,2282</t>
  </si>
  <si>
    <t>162,5</t>
  </si>
  <si>
    <t>Ushakov Roman</t>
  </si>
  <si>
    <t>1. Ushakov Roman</t>
  </si>
  <si>
    <t>Open (27.11.1984)/34</t>
  </si>
  <si>
    <t>98,80</t>
  </si>
  <si>
    <t>RUS/Chekhov</t>
  </si>
  <si>
    <t>Ilin Andrey</t>
  </si>
  <si>
    <t>1. Ilin Andrey</t>
  </si>
  <si>
    <t>Masters 40-44 (28.06.1976)/42</t>
  </si>
  <si>
    <t>1. Novozhilov Aleksey</t>
  </si>
  <si>
    <t>Oreshkin Aleksandr</t>
  </si>
  <si>
    <t>1. Oreshkin Aleksandr</t>
  </si>
  <si>
    <t>Open (21.08.1982)/36</t>
  </si>
  <si>
    <t>121,90</t>
  </si>
  <si>
    <t>170,1745</t>
  </si>
  <si>
    <t>151,9180</t>
  </si>
  <si>
    <t>141,9500</t>
  </si>
  <si>
    <t>126,6467</t>
  </si>
  <si>
    <t>155,7122</t>
  </si>
  <si>
    <t>134,1355</t>
  </si>
  <si>
    <t>1. Dobryinin Yuriy</t>
  </si>
  <si>
    <t>Deev Aleksandr</t>
  </si>
  <si>
    <t>2. Deev Aleksandr</t>
  </si>
  <si>
    <t>Open (22.07.1986)/32</t>
  </si>
  <si>
    <t>-. Devaykin Valeriy</t>
  </si>
  <si>
    <t>Masters 40-44 (22.11.1974)/44</t>
  </si>
  <si>
    <t>74,10</t>
  </si>
  <si>
    <t>Masters 45-49 (17.02.1971)/48</t>
  </si>
  <si>
    <t>2. Saitgareev Timur</t>
  </si>
  <si>
    <t>Talibov Igor</t>
  </si>
  <si>
    <t>1. Talibov Igor</t>
  </si>
  <si>
    <t>Masters 45-49 (01.05.1970)/49</t>
  </si>
  <si>
    <t>1. Savelev Egor</t>
  </si>
  <si>
    <t>247,5</t>
  </si>
  <si>
    <t>2. Chernyavskiy Dmitriy</t>
  </si>
  <si>
    <t>Panyushin Pavel</t>
  </si>
  <si>
    <t>1. Panyushin Pavel</t>
  </si>
  <si>
    <t>Open (26.09.1989)/29</t>
  </si>
  <si>
    <t>RUS/Orekhovo-Zuyevo</t>
  </si>
  <si>
    <t>237,5</t>
  </si>
  <si>
    <t>Korchinskiy Vasiliy</t>
  </si>
  <si>
    <t>1. Korchinskiy Vasiliy</t>
  </si>
  <si>
    <t>Open (26.07.1981)/37</t>
  </si>
  <si>
    <t>106,10</t>
  </si>
  <si>
    <t>Demidov Dmitriy</t>
  </si>
  <si>
    <t>1. Demidov Dmitriy</t>
  </si>
  <si>
    <t>Juniors 20-23 (04.10.1998)/20</t>
  </si>
  <si>
    <t>128,80</t>
  </si>
  <si>
    <t>282,5w</t>
  </si>
  <si>
    <t>295,0w</t>
  </si>
  <si>
    <t>116,3767</t>
  </si>
  <si>
    <t>295,0</t>
  </si>
  <si>
    <t>159,7396</t>
  </si>
  <si>
    <t>145,0655</t>
  </si>
  <si>
    <t>142,1625</t>
  </si>
  <si>
    <t>140,9700</t>
  </si>
  <si>
    <t>137,1090</t>
  </si>
  <si>
    <t>136,0220</t>
  </si>
  <si>
    <t>128,6351</t>
  </si>
  <si>
    <t>115,0237</t>
  </si>
  <si>
    <t>91,5600</t>
  </si>
  <si>
    <t>154,6441</t>
  </si>
  <si>
    <t>95,1047</t>
  </si>
  <si>
    <t>Shcheslavskiy Stanislav</t>
  </si>
  <si>
    <t>1. Shcheslavskiy Stanislav</t>
  </si>
  <si>
    <t>Open (15.04.1981)/38</t>
  </si>
  <si>
    <t>98,70</t>
  </si>
  <si>
    <t>137,3693</t>
  </si>
  <si>
    <t>OPEN EUROPE CUP
AWPC standart soft eq. benchpress
Russia/Moscow 1 - 2 june 2019</t>
  </si>
  <si>
    <t>OPEN EUROPE CUP
AWPC multiply soft eq. benchpress
Russia/Moscow 1 - 2 june 2019</t>
  </si>
  <si>
    <t>OPEN EUROPE CUP
WPC standart soft eq. benchpress
Russia/Moscow 1 - 2 june 2019</t>
  </si>
  <si>
    <t>OPEN EUROPE CUP
AWPA raw powerlifting
Russia/Moscow 1 - 2 june 2019</t>
  </si>
  <si>
    <t>OPEN EUROPE CUP
AWPA multi ply benchpress
Russia/Moscow 1 - 2 june 2019</t>
  </si>
  <si>
    <t>OPEN EUROPE CUP
AWPA single ply benchpress
Russia/Moscow 1 - 2 june 2019</t>
  </si>
  <si>
    <t>OPEN EUROPE CUP
AWPA raw benchpress
Russia/Moscow 1 - 2 june 2019</t>
  </si>
  <si>
    <t>OPEN EUROPE CUP
AWPA single ply deadlift
Russia/Moscow 1 - 2 june 2019</t>
  </si>
  <si>
    <t>OPEN EUROPE CUP
AWPA raw deadlift
Russia/Moscow 1 - 2 june 2019</t>
  </si>
  <si>
    <t>OPEN EUROPE CUP
WPA raw powerlifting
Russia/Moscow 1 - 2 june 2019</t>
  </si>
  <si>
    <t>OPEN EUROPE CUP
WPA multi ply benchpress
Russia/Moscow 1 - 2 june 2019</t>
  </si>
  <si>
    <t>OPEN EUROPE CUP
WPA single ply benchpress
Russia/Moscow 1 - 2 june 2019</t>
  </si>
  <si>
    <t>OPEN EUROPE CUP
WPA raw benchpress
Russia/Moscow 1 - 2 june 2019</t>
  </si>
  <si>
    <t>OPEN EUROPE CUP
WPA raw deadlift
Russia/Moscow 1 - 2 june 2019</t>
  </si>
  <si>
    <t>OPEN EUROPE CUP
Multy-reperat benchpress 1/2 bw. drug tested
Russia/Moscow 1 - 2 june 2019</t>
  </si>
  <si>
    <t>OPEN EUROPE CUP
Multy-reperat benchpress 1 bw. drug tested
Russia/Moscow 1 - 2 june 2019</t>
  </si>
  <si>
    <t>OPEN EUROPE CUP
Multy-reperat benchpress single body weight
Russia/Moscow 1 - 2 june 2019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</si>
</sst>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7" width="5.5703125" style="5" bestFit="1" customWidth="1"/>
    <col min="8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1096</v>
      </c>
      <c r="B6" s="10" t="s">
        <v>1097</v>
      </c>
      <c r="C6" s="10" t="s">
        <v>1098</v>
      </c>
      <c r="D6" s="10" t="str">
        <f>"0,5846"</f>
        <v>0,5846</v>
      </c>
      <c r="E6" s="9" t="s">
        <v>28</v>
      </c>
      <c r="F6" s="9" t="s">
        <v>19</v>
      </c>
      <c r="G6" s="11" t="s">
        <v>247</v>
      </c>
      <c r="H6" s="10" t="s">
        <v>276</v>
      </c>
      <c r="I6" s="11" t="s">
        <v>299</v>
      </c>
      <c r="J6" s="11"/>
      <c r="K6" s="9" t="str">
        <f>"235,0"</f>
        <v>235,0</v>
      </c>
      <c r="L6" s="10" t="str">
        <f>"137,3693"</f>
        <v>137,3693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E8" s="21" t="s">
        <v>69</v>
      </c>
    </row>
    <row r="9" spans="1:13" ht="15">
      <c r="E9" s="21" t="s">
        <v>70</v>
      </c>
    </row>
    <row r="10" spans="1:13" ht="15">
      <c r="E10" s="21" t="s">
        <v>71</v>
      </c>
    </row>
    <row r="11" spans="1:13">
      <c r="E11" s="4" t="s">
        <v>72</v>
      </c>
    </row>
    <row r="12" spans="1:13">
      <c r="E12" s="4" t="s">
        <v>73</v>
      </c>
    </row>
    <row r="13" spans="1:13">
      <c r="E13" s="4" t="s">
        <v>74</v>
      </c>
    </row>
    <row r="16" spans="1:13" ht="18">
      <c r="A16" s="22" t="s">
        <v>75</v>
      </c>
      <c r="B16" s="23"/>
    </row>
    <row r="17" spans="1:5" ht="15">
      <c r="A17" s="24" t="s">
        <v>83</v>
      </c>
      <c r="B17" s="25"/>
    </row>
    <row r="18" spans="1:5" ht="14.25">
      <c r="A18" s="27"/>
      <c r="B18" s="28" t="s">
        <v>77</v>
      </c>
    </row>
    <row r="19" spans="1:5" ht="15">
      <c r="A19" s="29" t="s">
        <v>0</v>
      </c>
      <c r="B19" s="29" t="s">
        <v>78</v>
      </c>
      <c r="C19" s="29" t="s">
        <v>79</v>
      </c>
      <c r="D19" s="29" t="s">
        <v>80</v>
      </c>
      <c r="E19" s="29" t="s">
        <v>932</v>
      </c>
    </row>
    <row r="20" spans="1:5">
      <c r="A20" s="26" t="s">
        <v>1095</v>
      </c>
      <c r="B20" s="5" t="s">
        <v>77</v>
      </c>
      <c r="C20" s="5" t="s">
        <v>88</v>
      </c>
      <c r="D20" s="5" t="s">
        <v>247</v>
      </c>
      <c r="E20" s="30" t="s">
        <v>1099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6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2.2851562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1.85546875" style="4" bestFit="1" customWidth="1"/>
    <col min="14" max="16384" width="9.140625" style="3"/>
  </cols>
  <sheetData>
    <row r="1" spans="1:13" s="2" customFormat="1" ht="29.1" customHeight="1">
      <c r="A1" s="45" t="s">
        <v>1106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318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15" t="s">
        <v>460</v>
      </c>
      <c r="B6" s="12" t="s">
        <v>461</v>
      </c>
      <c r="C6" s="12" t="s">
        <v>462</v>
      </c>
      <c r="D6" s="12" t="str">
        <f>"1,1039"</f>
        <v>1,1039</v>
      </c>
      <c r="E6" s="15" t="s">
        <v>28</v>
      </c>
      <c r="F6" s="15" t="s">
        <v>19</v>
      </c>
      <c r="G6" s="12" t="s">
        <v>463</v>
      </c>
      <c r="H6" s="16" t="s">
        <v>464</v>
      </c>
      <c r="I6" s="16" t="s">
        <v>464</v>
      </c>
      <c r="J6" s="16"/>
      <c r="K6" s="15" t="str">
        <f>"42,5"</f>
        <v>42,5</v>
      </c>
      <c r="L6" s="12" t="str">
        <f>"46,9157"</f>
        <v>46,9157</v>
      </c>
      <c r="M6" s="15"/>
    </row>
    <row r="7" spans="1:13" s="5" customFormat="1">
      <c r="A7" s="19" t="s">
        <v>320</v>
      </c>
      <c r="B7" s="14" t="s">
        <v>321</v>
      </c>
      <c r="C7" s="14" t="s">
        <v>322</v>
      </c>
      <c r="D7" s="14" t="str">
        <f>"1,0621"</f>
        <v>1,0621</v>
      </c>
      <c r="E7" s="19" t="s">
        <v>28</v>
      </c>
      <c r="F7" s="19" t="s">
        <v>19</v>
      </c>
      <c r="G7" s="14" t="s">
        <v>465</v>
      </c>
      <c r="H7" s="20" t="s">
        <v>466</v>
      </c>
      <c r="I7" s="20" t="s">
        <v>466</v>
      </c>
      <c r="J7" s="20"/>
      <c r="K7" s="19" t="str">
        <f>"65,0"</f>
        <v>65,0</v>
      </c>
      <c r="L7" s="14" t="str">
        <f>"69,0365"</f>
        <v>69,0365</v>
      </c>
      <c r="M7" s="19"/>
    </row>
    <row r="9" spans="1:13" ht="15">
      <c r="A9" s="56" t="s">
        <v>467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3">
      <c r="A10" s="15" t="s">
        <v>469</v>
      </c>
      <c r="B10" s="12" t="s">
        <v>332</v>
      </c>
      <c r="C10" s="12" t="s">
        <v>470</v>
      </c>
      <c r="D10" s="12" t="str">
        <f>"0,9888"</f>
        <v>0,9888</v>
      </c>
      <c r="E10" s="15" t="s">
        <v>28</v>
      </c>
      <c r="F10" s="15" t="s">
        <v>191</v>
      </c>
      <c r="G10" s="12" t="s">
        <v>471</v>
      </c>
      <c r="H10" s="16" t="s">
        <v>472</v>
      </c>
      <c r="I10" s="12" t="s">
        <v>473</v>
      </c>
      <c r="J10" s="16"/>
      <c r="K10" s="15" t="str">
        <f>"40,0"</f>
        <v>40,0</v>
      </c>
      <c r="L10" s="12" t="str">
        <f>"39,5520"</f>
        <v>39,5520</v>
      </c>
      <c r="M10" s="15"/>
    </row>
    <row r="11" spans="1:13">
      <c r="A11" s="19" t="s">
        <v>475</v>
      </c>
      <c r="B11" s="14" t="s">
        <v>476</v>
      </c>
      <c r="C11" s="14" t="s">
        <v>477</v>
      </c>
      <c r="D11" s="14" t="str">
        <f>"0,9840"</f>
        <v>0,9840</v>
      </c>
      <c r="E11" s="19" t="s">
        <v>121</v>
      </c>
      <c r="F11" s="19" t="s">
        <v>19</v>
      </c>
      <c r="G11" s="14" t="s">
        <v>478</v>
      </c>
      <c r="H11" s="14" t="s">
        <v>479</v>
      </c>
      <c r="I11" s="14" t="s">
        <v>480</v>
      </c>
      <c r="J11" s="20"/>
      <c r="K11" s="19" t="str">
        <f>"32,5"</f>
        <v>32,5</v>
      </c>
      <c r="L11" s="14" t="str">
        <f>"38,5039"</f>
        <v>38,5039</v>
      </c>
      <c r="M11" s="19"/>
    </row>
    <row r="13" spans="1:13" ht="15">
      <c r="A13" s="56" t="s">
        <v>323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3">
      <c r="A14" s="9" t="s">
        <v>482</v>
      </c>
      <c r="B14" s="10" t="s">
        <v>483</v>
      </c>
      <c r="C14" s="10" t="s">
        <v>484</v>
      </c>
      <c r="D14" s="10" t="str">
        <f>"0,9305"</f>
        <v>0,9305</v>
      </c>
      <c r="E14" s="9" t="s">
        <v>121</v>
      </c>
      <c r="F14" s="9" t="s">
        <v>19</v>
      </c>
      <c r="G14" s="10" t="s">
        <v>478</v>
      </c>
      <c r="H14" s="10" t="s">
        <v>479</v>
      </c>
      <c r="I14" s="10" t="s">
        <v>480</v>
      </c>
      <c r="J14" s="11"/>
      <c r="K14" s="9" t="str">
        <f>"32,5"</f>
        <v>32,5</v>
      </c>
      <c r="L14" s="10" t="str">
        <f>"30,2412"</f>
        <v>30,2412</v>
      </c>
      <c r="M14" s="9"/>
    </row>
    <row r="16" spans="1:13" ht="15">
      <c r="A16" s="56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3">
      <c r="A17" s="15" t="s">
        <v>486</v>
      </c>
      <c r="B17" s="12" t="s">
        <v>487</v>
      </c>
      <c r="C17" s="12" t="s">
        <v>488</v>
      </c>
      <c r="D17" s="12" t="str">
        <f>"0,7777"</f>
        <v>0,7777</v>
      </c>
      <c r="E17" s="15" t="s">
        <v>28</v>
      </c>
      <c r="F17" s="15" t="s">
        <v>489</v>
      </c>
      <c r="G17" s="12" t="s">
        <v>490</v>
      </c>
      <c r="H17" s="12" t="s">
        <v>456</v>
      </c>
      <c r="I17" s="16" t="s">
        <v>360</v>
      </c>
      <c r="J17" s="16"/>
      <c r="K17" s="15" t="str">
        <f>"110,0"</f>
        <v>110,0</v>
      </c>
      <c r="L17" s="12" t="str">
        <f>"85,5470"</f>
        <v>85,5470</v>
      </c>
      <c r="M17" s="15"/>
    </row>
    <row r="18" spans="1:13">
      <c r="A18" s="17" t="s">
        <v>492</v>
      </c>
      <c r="B18" s="13" t="s">
        <v>493</v>
      </c>
      <c r="C18" s="13" t="s">
        <v>494</v>
      </c>
      <c r="D18" s="13" t="str">
        <f>"0,7492"</f>
        <v>0,7492</v>
      </c>
      <c r="E18" s="17" t="s">
        <v>28</v>
      </c>
      <c r="F18" s="17" t="s">
        <v>19</v>
      </c>
      <c r="G18" s="13" t="s">
        <v>123</v>
      </c>
      <c r="H18" s="18" t="s">
        <v>495</v>
      </c>
      <c r="I18" s="18" t="s">
        <v>495</v>
      </c>
      <c r="J18" s="18"/>
      <c r="K18" s="17" t="str">
        <f>"100,0"</f>
        <v>100,0</v>
      </c>
      <c r="L18" s="13" t="str">
        <f>"74,9200"</f>
        <v>74,9200</v>
      </c>
      <c r="M18" s="17"/>
    </row>
    <row r="19" spans="1:13">
      <c r="A19" s="17" t="s">
        <v>497</v>
      </c>
      <c r="B19" s="13" t="s">
        <v>498</v>
      </c>
      <c r="C19" s="13" t="s">
        <v>499</v>
      </c>
      <c r="D19" s="13" t="str">
        <f>"0,7408"</f>
        <v>0,7408</v>
      </c>
      <c r="E19" s="17" t="s">
        <v>28</v>
      </c>
      <c r="F19" s="17" t="s">
        <v>500</v>
      </c>
      <c r="G19" s="13" t="s">
        <v>291</v>
      </c>
      <c r="H19" s="18" t="s">
        <v>108</v>
      </c>
      <c r="I19" s="18" t="s">
        <v>108</v>
      </c>
      <c r="J19" s="18"/>
      <c r="K19" s="17" t="str">
        <f>"120,0"</f>
        <v>120,0</v>
      </c>
      <c r="L19" s="13" t="str">
        <f>"88,8960"</f>
        <v>88,8960</v>
      </c>
      <c r="M19" s="17"/>
    </row>
    <row r="20" spans="1:13">
      <c r="A20" s="17" t="s">
        <v>502</v>
      </c>
      <c r="B20" s="13" t="s">
        <v>503</v>
      </c>
      <c r="C20" s="13" t="s">
        <v>504</v>
      </c>
      <c r="D20" s="13" t="str">
        <f>"0,7471"</f>
        <v>0,7471</v>
      </c>
      <c r="E20" s="17" t="s">
        <v>28</v>
      </c>
      <c r="F20" s="17" t="s">
        <v>19</v>
      </c>
      <c r="G20" s="13" t="s">
        <v>291</v>
      </c>
      <c r="H20" s="13" t="s">
        <v>292</v>
      </c>
      <c r="I20" s="18" t="s">
        <v>131</v>
      </c>
      <c r="J20" s="18"/>
      <c r="K20" s="17" t="str">
        <f>"125,0"</f>
        <v>125,0</v>
      </c>
      <c r="L20" s="13" t="str">
        <f>"93,3875"</f>
        <v>93,3875</v>
      </c>
      <c r="M20" s="17"/>
    </row>
    <row r="21" spans="1:13">
      <c r="A21" s="19" t="s">
        <v>506</v>
      </c>
      <c r="B21" s="14" t="s">
        <v>507</v>
      </c>
      <c r="C21" s="14" t="s">
        <v>508</v>
      </c>
      <c r="D21" s="14" t="str">
        <f>"0,7398"</f>
        <v>0,7398</v>
      </c>
      <c r="E21" s="19" t="s">
        <v>28</v>
      </c>
      <c r="F21" s="19" t="s">
        <v>38</v>
      </c>
      <c r="G21" s="14" t="s">
        <v>490</v>
      </c>
      <c r="H21" s="14" t="s">
        <v>509</v>
      </c>
      <c r="I21" s="14" t="s">
        <v>457</v>
      </c>
      <c r="J21" s="20"/>
      <c r="K21" s="19" t="str">
        <f>"115,0"</f>
        <v>115,0</v>
      </c>
      <c r="L21" s="14" t="str">
        <f>"85,0770"</f>
        <v>85,0770</v>
      </c>
      <c r="M21" s="19"/>
    </row>
    <row r="23" spans="1:13" ht="15">
      <c r="A23" s="56" t="s">
        <v>342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3">
      <c r="A24" s="15" t="s">
        <v>511</v>
      </c>
      <c r="B24" s="12" t="s">
        <v>512</v>
      </c>
      <c r="C24" s="12" t="s">
        <v>513</v>
      </c>
      <c r="D24" s="12" t="str">
        <f>"0,6673"</f>
        <v>0,6673</v>
      </c>
      <c r="E24" s="15" t="s">
        <v>28</v>
      </c>
      <c r="F24" s="15" t="s">
        <v>514</v>
      </c>
      <c r="G24" s="12" t="s">
        <v>515</v>
      </c>
      <c r="H24" s="16" t="s">
        <v>262</v>
      </c>
      <c r="I24" s="16" t="s">
        <v>262</v>
      </c>
      <c r="J24" s="16"/>
      <c r="K24" s="15" t="str">
        <f>"135,0"</f>
        <v>135,0</v>
      </c>
      <c r="L24" s="12" t="str">
        <f>"90,0855"</f>
        <v>90,0855</v>
      </c>
      <c r="M24" s="15"/>
    </row>
    <row r="25" spans="1:13">
      <c r="A25" s="17" t="s">
        <v>517</v>
      </c>
      <c r="B25" s="13" t="s">
        <v>518</v>
      </c>
      <c r="C25" s="13" t="s">
        <v>519</v>
      </c>
      <c r="D25" s="13" t="str">
        <f>"0,6767"</f>
        <v>0,6767</v>
      </c>
      <c r="E25" s="17" t="s">
        <v>28</v>
      </c>
      <c r="F25" s="17" t="s">
        <v>520</v>
      </c>
      <c r="G25" s="13" t="s">
        <v>456</v>
      </c>
      <c r="H25" s="13" t="s">
        <v>521</v>
      </c>
      <c r="I25" s="13" t="s">
        <v>108</v>
      </c>
      <c r="J25" s="18"/>
      <c r="K25" s="17" t="str">
        <f>"125,0"</f>
        <v>125,0</v>
      </c>
      <c r="L25" s="13" t="str">
        <f>"84,5875"</f>
        <v>84,5875</v>
      </c>
      <c r="M25" s="17"/>
    </row>
    <row r="26" spans="1:13">
      <c r="A26" s="17" t="s">
        <v>523</v>
      </c>
      <c r="B26" s="13" t="s">
        <v>524</v>
      </c>
      <c r="C26" s="13" t="s">
        <v>525</v>
      </c>
      <c r="D26" s="13" t="str">
        <f>"0,6687"</f>
        <v>0,6687</v>
      </c>
      <c r="E26" s="17" t="s">
        <v>28</v>
      </c>
      <c r="F26" s="17" t="s">
        <v>19</v>
      </c>
      <c r="G26" s="13" t="s">
        <v>526</v>
      </c>
      <c r="H26" s="13" t="s">
        <v>515</v>
      </c>
      <c r="I26" s="18" t="s">
        <v>527</v>
      </c>
      <c r="J26" s="18"/>
      <c r="K26" s="17" t="str">
        <f>"135,0"</f>
        <v>135,0</v>
      </c>
      <c r="L26" s="13" t="str">
        <f>"90,2745"</f>
        <v>90,2745</v>
      </c>
      <c r="M26" s="17"/>
    </row>
    <row r="27" spans="1:13">
      <c r="A27" s="17" t="s">
        <v>528</v>
      </c>
      <c r="B27" s="13" t="s">
        <v>529</v>
      </c>
      <c r="C27" s="13" t="s">
        <v>525</v>
      </c>
      <c r="D27" s="13" t="str">
        <f>"0,6687"</f>
        <v>0,6687</v>
      </c>
      <c r="E27" s="17" t="s">
        <v>28</v>
      </c>
      <c r="F27" s="17" t="s">
        <v>19</v>
      </c>
      <c r="G27" s="13" t="s">
        <v>456</v>
      </c>
      <c r="H27" s="13" t="s">
        <v>521</v>
      </c>
      <c r="I27" s="13" t="s">
        <v>107</v>
      </c>
      <c r="J27" s="18"/>
      <c r="K27" s="17" t="str">
        <f>"120,0"</f>
        <v>120,0</v>
      </c>
      <c r="L27" s="13" t="str">
        <f>"80,2440"</f>
        <v>80,2440</v>
      </c>
      <c r="M27" s="17"/>
    </row>
    <row r="28" spans="1:13">
      <c r="A28" s="17" t="s">
        <v>530</v>
      </c>
      <c r="B28" s="13" t="s">
        <v>531</v>
      </c>
      <c r="C28" s="13" t="s">
        <v>532</v>
      </c>
      <c r="D28" s="13" t="str">
        <f>"0,6859"</f>
        <v>0,6859</v>
      </c>
      <c r="E28" s="17" t="s">
        <v>28</v>
      </c>
      <c r="F28" s="17" t="s">
        <v>19</v>
      </c>
      <c r="G28" s="18" t="s">
        <v>533</v>
      </c>
      <c r="H28" s="13" t="s">
        <v>521</v>
      </c>
      <c r="I28" s="18" t="s">
        <v>353</v>
      </c>
      <c r="J28" s="18"/>
      <c r="K28" s="17" t="str">
        <f>"117,5"</f>
        <v>117,5</v>
      </c>
      <c r="L28" s="13" t="str">
        <f>"80,5932"</f>
        <v>80,5932</v>
      </c>
      <c r="M28" s="17"/>
    </row>
    <row r="29" spans="1:13">
      <c r="A29" s="17" t="s">
        <v>534</v>
      </c>
      <c r="B29" s="13" t="s">
        <v>535</v>
      </c>
      <c r="C29" s="13" t="s">
        <v>532</v>
      </c>
      <c r="D29" s="13" t="str">
        <f>"0,6859"</f>
        <v>0,6859</v>
      </c>
      <c r="E29" s="17" t="s">
        <v>28</v>
      </c>
      <c r="F29" s="17" t="s">
        <v>536</v>
      </c>
      <c r="G29" s="18" t="s">
        <v>537</v>
      </c>
      <c r="H29" s="18"/>
      <c r="I29" s="18"/>
      <c r="J29" s="18"/>
      <c r="K29" s="17" t="str">
        <f>"0.00"</f>
        <v>0.00</v>
      </c>
      <c r="L29" s="13" t="str">
        <f>"0,0000"</f>
        <v>0,0000</v>
      </c>
      <c r="M29" s="17"/>
    </row>
    <row r="30" spans="1:13">
      <c r="A30" s="19" t="s">
        <v>539</v>
      </c>
      <c r="B30" s="14" t="s">
        <v>540</v>
      </c>
      <c r="C30" s="14" t="s">
        <v>541</v>
      </c>
      <c r="D30" s="14" t="str">
        <f>"0,6760"</f>
        <v>0,6760</v>
      </c>
      <c r="E30" s="19" t="s">
        <v>105</v>
      </c>
      <c r="F30" s="19" t="s">
        <v>19</v>
      </c>
      <c r="G30" s="14" t="s">
        <v>123</v>
      </c>
      <c r="H30" s="14" t="s">
        <v>348</v>
      </c>
      <c r="I30" s="20" t="s">
        <v>533</v>
      </c>
      <c r="J30" s="20"/>
      <c r="K30" s="19" t="str">
        <f>"105,0"</f>
        <v>105,0</v>
      </c>
      <c r="L30" s="14" t="str">
        <f>"70,9800"</f>
        <v>70,9800</v>
      </c>
      <c r="M30" s="19"/>
    </row>
    <row r="32" spans="1:13" ht="15">
      <c r="A32" s="56" t="s">
        <v>109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3">
      <c r="A33" s="15" t="s">
        <v>543</v>
      </c>
      <c r="B33" s="12" t="s">
        <v>544</v>
      </c>
      <c r="C33" s="12" t="s">
        <v>545</v>
      </c>
      <c r="D33" s="12" t="str">
        <f>"0,6436"</f>
        <v>0,6436</v>
      </c>
      <c r="E33" s="15" t="s">
        <v>28</v>
      </c>
      <c r="F33" s="15" t="s">
        <v>546</v>
      </c>
      <c r="G33" s="12" t="s">
        <v>515</v>
      </c>
      <c r="H33" s="12" t="s">
        <v>194</v>
      </c>
      <c r="I33" s="12" t="s">
        <v>270</v>
      </c>
      <c r="J33" s="16"/>
      <c r="K33" s="15" t="str">
        <f>"145,0"</f>
        <v>145,0</v>
      </c>
      <c r="L33" s="12" t="str">
        <f>"93,3220"</f>
        <v>93,3220</v>
      </c>
      <c r="M33" s="15"/>
    </row>
    <row r="34" spans="1:13">
      <c r="A34" s="17" t="s">
        <v>548</v>
      </c>
      <c r="B34" s="13" t="s">
        <v>549</v>
      </c>
      <c r="C34" s="13" t="s">
        <v>550</v>
      </c>
      <c r="D34" s="13" t="str">
        <f>"0,6279"</f>
        <v>0,6279</v>
      </c>
      <c r="E34" s="17" t="s">
        <v>190</v>
      </c>
      <c r="F34" s="17" t="s">
        <v>191</v>
      </c>
      <c r="G34" s="13" t="s">
        <v>179</v>
      </c>
      <c r="H34" s="13" t="s">
        <v>192</v>
      </c>
      <c r="I34" s="13" t="s">
        <v>144</v>
      </c>
      <c r="J34" s="18"/>
      <c r="K34" s="17" t="str">
        <f>"180,0"</f>
        <v>180,0</v>
      </c>
      <c r="L34" s="13" t="str">
        <f>"113,0220"</f>
        <v>113,0220</v>
      </c>
      <c r="M34" s="17"/>
    </row>
    <row r="35" spans="1:13">
      <c r="A35" s="17" t="s">
        <v>552</v>
      </c>
      <c r="B35" s="13" t="s">
        <v>553</v>
      </c>
      <c r="C35" s="13" t="s">
        <v>554</v>
      </c>
      <c r="D35" s="13" t="str">
        <f>"0,6364"</f>
        <v>0,6364</v>
      </c>
      <c r="E35" s="17" t="s">
        <v>28</v>
      </c>
      <c r="F35" s="17" t="s">
        <v>19</v>
      </c>
      <c r="G35" s="13" t="s">
        <v>262</v>
      </c>
      <c r="H35" s="13" t="s">
        <v>208</v>
      </c>
      <c r="I35" s="13" t="s">
        <v>21</v>
      </c>
      <c r="J35" s="18"/>
      <c r="K35" s="17" t="str">
        <f>"160,0"</f>
        <v>160,0</v>
      </c>
      <c r="L35" s="13" t="str">
        <f>"101,8240"</f>
        <v>101,8240</v>
      </c>
      <c r="M35" s="17"/>
    </row>
    <row r="36" spans="1:13">
      <c r="A36" s="17" t="s">
        <v>556</v>
      </c>
      <c r="B36" s="13" t="s">
        <v>557</v>
      </c>
      <c r="C36" s="13" t="s">
        <v>558</v>
      </c>
      <c r="D36" s="13" t="str">
        <f>"0,6268"</f>
        <v>0,6268</v>
      </c>
      <c r="E36" s="17" t="s">
        <v>28</v>
      </c>
      <c r="F36" s="17" t="s">
        <v>19</v>
      </c>
      <c r="G36" s="13" t="s">
        <v>115</v>
      </c>
      <c r="H36" s="13" t="s">
        <v>116</v>
      </c>
      <c r="I36" s="13" t="s">
        <v>206</v>
      </c>
      <c r="J36" s="18"/>
      <c r="K36" s="17" t="str">
        <f>"160,0"</f>
        <v>160,0</v>
      </c>
      <c r="L36" s="13" t="str">
        <f>"100,2880"</f>
        <v>100,2880</v>
      </c>
      <c r="M36" s="17"/>
    </row>
    <row r="37" spans="1:13">
      <c r="A37" s="17" t="s">
        <v>560</v>
      </c>
      <c r="B37" s="13" t="s">
        <v>561</v>
      </c>
      <c r="C37" s="13" t="s">
        <v>259</v>
      </c>
      <c r="D37" s="13" t="str">
        <f>"0,6290"</f>
        <v>0,6290</v>
      </c>
      <c r="E37" s="17" t="s">
        <v>28</v>
      </c>
      <c r="F37" s="17" t="s">
        <v>19</v>
      </c>
      <c r="G37" s="13" t="s">
        <v>261</v>
      </c>
      <c r="H37" s="13" t="s">
        <v>527</v>
      </c>
      <c r="I37" s="13" t="s">
        <v>262</v>
      </c>
      <c r="J37" s="18"/>
      <c r="K37" s="17" t="str">
        <f>"145,0"</f>
        <v>145,0</v>
      </c>
      <c r="L37" s="13" t="str">
        <f>"91,2050"</f>
        <v>91,2050</v>
      </c>
      <c r="M37" s="17" t="s">
        <v>562</v>
      </c>
    </row>
    <row r="38" spans="1:13">
      <c r="A38" s="17" t="s">
        <v>564</v>
      </c>
      <c r="B38" s="13" t="s">
        <v>565</v>
      </c>
      <c r="C38" s="13" t="s">
        <v>558</v>
      </c>
      <c r="D38" s="13" t="str">
        <f>"0,6268"</f>
        <v>0,6268</v>
      </c>
      <c r="E38" s="17" t="s">
        <v>28</v>
      </c>
      <c r="F38" s="17" t="s">
        <v>19</v>
      </c>
      <c r="G38" s="13" t="s">
        <v>270</v>
      </c>
      <c r="H38" s="18" t="s">
        <v>208</v>
      </c>
      <c r="I38" s="18" t="s">
        <v>208</v>
      </c>
      <c r="J38" s="18"/>
      <c r="K38" s="17" t="str">
        <f>"145,0"</f>
        <v>145,0</v>
      </c>
      <c r="L38" s="13" t="str">
        <f>"90,8860"</f>
        <v>90,8860</v>
      </c>
      <c r="M38" s="17"/>
    </row>
    <row r="39" spans="1:13">
      <c r="A39" s="17" t="s">
        <v>567</v>
      </c>
      <c r="B39" s="13" t="s">
        <v>568</v>
      </c>
      <c r="C39" s="13" t="s">
        <v>569</v>
      </c>
      <c r="D39" s="13" t="str">
        <f>"0,6324"</f>
        <v>0,6324</v>
      </c>
      <c r="E39" s="17" t="s">
        <v>28</v>
      </c>
      <c r="F39" s="17" t="s">
        <v>19</v>
      </c>
      <c r="G39" s="13" t="s">
        <v>131</v>
      </c>
      <c r="H39" s="13" t="s">
        <v>527</v>
      </c>
      <c r="I39" s="18" t="s">
        <v>262</v>
      </c>
      <c r="J39" s="18"/>
      <c r="K39" s="17" t="str">
        <f>"137,5"</f>
        <v>137,5</v>
      </c>
      <c r="L39" s="13" t="str">
        <f>"86,9550"</f>
        <v>86,9550</v>
      </c>
      <c r="M39" s="17"/>
    </row>
    <row r="40" spans="1:13">
      <c r="A40" s="17" t="s">
        <v>571</v>
      </c>
      <c r="B40" s="13" t="s">
        <v>572</v>
      </c>
      <c r="C40" s="13" t="s">
        <v>573</v>
      </c>
      <c r="D40" s="13" t="str">
        <f>"0,6341"</f>
        <v>0,6341</v>
      </c>
      <c r="E40" s="17" t="s">
        <v>28</v>
      </c>
      <c r="F40" s="17" t="s">
        <v>19</v>
      </c>
      <c r="G40" s="13" t="s">
        <v>526</v>
      </c>
      <c r="H40" s="13" t="s">
        <v>131</v>
      </c>
      <c r="I40" s="18" t="s">
        <v>125</v>
      </c>
      <c r="J40" s="18"/>
      <c r="K40" s="17" t="str">
        <f>"130,0"</f>
        <v>130,0</v>
      </c>
      <c r="L40" s="13" t="str">
        <f>"82,4330"</f>
        <v>82,4330</v>
      </c>
      <c r="M40" s="17"/>
    </row>
    <row r="41" spans="1:13">
      <c r="A41" s="17" t="s">
        <v>575</v>
      </c>
      <c r="B41" s="13" t="s">
        <v>576</v>
      </c>
      <c r="C41" s="13" t="s">
        <v>259</v>
      </c>
      <c r="D41" s="13" t="str">
        <f>"0,6290"</f>
        <v>0,6290</v>
      </c>
      <c r="E41" s="17" t="s">
        <v>190</v>
      </c>
      <c r="F41" s="17" t="s">
        <v>191</v>
      </c>
      <c r="G41" s="13" t="s">
        <v>107</v>
      </c>
      <c r="H41" s="13" t="s">
        <v>124</v>
      </c>
      <c r="I41" s="13" t="s">
        <v>131</v>
      </c>
      <c r="J41" s="18"/>
      <c r="K41" s="17" t="str">
        <f>"130,0"</f>
        <v>130,0</v>
      </c>
      <c r="L41" s="13" t="str">
        <f>"81,7700"</f>
        <v>81,7700</v>
      </c>
      <c r="M41" s="17"/>
    </row>
    <row r="42" spans="1:13">
      <c r="A42" s="19" t="s">
        <v>577</v>
      </c>
      <c r="B42" s="14" t="s">
        <v>578</v>
      </c>
      <c r="C42" s="14" t="s">
        <v>579</v>
      </c>
      <c r="D42" s="14" t="str">
        <f>"0,6224"</f>
        <v>0,6224</v>
      </c>
      <c r="E42" s="19" t="s">
        <v>28</v>
      </c>
      <c r="F42" s="19" t="s">
        <v>500</v>
      </c>
      <c r="G42" s="20" t="s">
        <v>124</v>
      </c>
      <c r="H42" s="20" t="s">
        <v>124</v>
      </c>
      <c r="I42" s="20" t="s">
        <v>124</v>
      </c>
      <c r="J42" s="20"/>
      <c r="K42" s="19" t="str">
        <f>"0.00"</f>
        <v>0.00</v>
      </c>
      <c r="L42" s="14" t="str">
        <f>"0,0000"</f>
        <v>0,0000</v>
      </c>
      <c r="M42" s="19"/>
    </row>
    <row r="44" spans="1:13" ht="15">
      <c r="A44" s="56" t="s">
        <v>132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3">
      <c r="A45" s="15" t="s">
        <v>581</v>
      </c>
      <c r="B45" s="12" t="s">
        <v>582</v>
      </c>
      <c r="C45" s="12" t="s">
        <v>583</v>
      </c>
      <c r="D45" s="12" t="str">
        <f>"0,5922"</f>
        <v>0,5922</v>
      </c>
      <c r="E45" s="15" t="s">
        <v>28</v>
      </c>
      <c r="F45" s="15" t="s">
        <v>584</v>
      </c>
      <c r="G45" s="12" t="s">
        <v>515</v>
      </c>
      <c r="H45" s="12" t="s">
        <v>194</v>
      </c>
      <c r="I45" s="16" t="s">
        <v>585</v>
      </c>
      <c r="J45" s="16"/>
      <c r="K45" s="15" t="str">
        <f>"140,0"</f>
        <v>140,0</v>
      </c>
      <c r="L45" s="12" t="str">
        <f>"82,9080"</f>
        <v>82,9080</v>
      </c>
      <c r="M45" s="15"/>
    </row>
    <row r="46" spans="1:13">
      <c r="A46" s="17" t="s">
        <v>587</v>
      </c>
      <c r="B46" s="13" t="s">
        <v>588</v>
      </c>
      <c r="C46" s="13" t="s">
        <v>589</v>
      </c>
      <c r="D46" s="13" t="str">
        <f>"0,5881"</f>
        <v>0,5881</v>
      </c>
      <c r="E46" s="17" t="s">
        <v>28</v>
      </c>
      <c r="F46" s="17" t="s">
        <v>165</v>
      </c>
      <c r="G46" s="13" t="s">
        <v>207</v>
      </c>
      <c r="H46" s="13" t="s">
        <v>39</v>
      </c>
      <c r="I46" s="18" t="s">
        <v>184</v>
      </c>
      <c r="J46" s="18"/>
      <c r="K46" s="17" t="str">
        <f>"180,0"</f>
        <v>180,0</v>
      </c>
      <c r="L46" s="13" t="str">
        <f>"105,8580"</f>
        <v>105,8580</v>
      </c>
      <c r="M46" s="17"/>
    </row>
    <row r="47" spans="1:13">
      <c r="A47" s="17" t="s">
        <v>591</v>
      </c>
      <c r="B47" s="13" t="s">
        <v>592</v>
      </c>
      <c r="C47" s="13" t="s">
        <v>593</v>
      </c>
      <c r="D47" s="13" t="str">
        <f>"0,5930"</f>
        <v>0,5930</v>
      </c>
      <c r="E47" s="17" t="s">
        <v>28</v>
      </c>
      <c r="F47" s="17" t="s">
        <v>594</v>
      </c>
      <c r="G47" s="13" t="s">
        <v>206</v>
      </c>
      <c r="H47" s="13" t="s">
        <v>207</v>
      </c>
      <c r="I47" s="13" t="s">
        <v>180</v>
      </c>
      <c r="J47" s="18"/>
      <c r="K47" s="17" t="str">
        <f>"170,0"</f>
        <v>170,0</v>
      </c>
      <c r="L47" s="13" t="str">
        <f>"100,8100"</f>
        <v>100,8100</v>
      </c>
      <c r="M47" s="17"/>
    </row>
    <row r="48" spans="1:13">
      <c r="A48" s="17" t="s">
        <v>596</v>
      </c>
      <c r="B48" s="13" t="s">
        <v>597</v>
      </c>
      <c r="C48" s="13" t="s">
        <v>598</v>
      </c>
      <c r="D48" s="13" t="str">
        <f>"0,5910"</f>
        <v>0,5910</v>
      </c>
      <c r="E48" s="17" t="s">
        <v>28</v>
      </c>
      <c r="F48" s="17" t="s">
        <v>19</v>
      </c>
      <c r="G48" s="18" t="s">
        <v>21</v>
      </c>
      <c r="H48" s="13" t="s">
        <v>21</v>
      </c>
      <c r="I48" s="18" t="s">
        <v>599</v>
      </c>
      <c r="J48" s="18"/>
      <c r="K48" s="17" t="str">
        <f>"160,0"</f>
        <v>160,0</v>
      </c>
      <c r="L48" s="13" t="str">
        <f>"94,5600"</f>
        <v>94,5600</v>
      </c>
      <c r="M48" s="17"/>
    </row>
    <row r="49" spans="1:13">
      <c r="A49" s="17" t="s">
        <v>601</v>
      </c>
      <c r="B49" s="13" t="s">
        <v>549</v>
      </c>
      <c r="C49" s="13" t="s">
        <v>602</v>
      </c>
      <c r="D49" s="13" t="str">
        <f>"0,5956"</f>
        <v>0,5956</v>
      </c>
      <c r="E49" s="17" t="s">
        <v>190</v>
      </c>
      <c r="F49" s="17" t="s">
        <v>191</v>
      </c>
      <c r="G49" s="13" t="s">
        <v>537</v>
      </c>
      <c r="H49" s="13" t="s">
        <v>20</v>
      </c>
      <c r="I49" s="18" t="s">
        <v>585</v>
      </c>
      <c r="J49" s="18"/>
      <c r="K49" s="17" t="str">
        <f>"140,0"</f>
        <v>140,0</v>
      </c>
      <c r="L49" s="13" t="str">
        <f>"83,3840"</f>
        <v>83,3840</v>
      </c>
      <c r="M49" s="17"/>
    </row>
    <row r="50" spans="1:13">
      <c r="A50" s="17" t="s">
        <v>603</v>
      </c>
      <c r="B50" s="13" t="s">
        <v>604</v>
      </c>
      <c r="C50" s="13" t="s">
        <v>150</v>
      </c>
      <c r="D50" s="13" t="str">
        <f>"0,5853"</f>
        <v>0,5853</v>
      </c>
      <c r="E50" s="17" t="s">
        <v>28</v>
      </c>
      <c r="F50" s="17" t="s">
        <v>19</v>
      </c>
      <c r="G50" s="13" t="s">
        <v>292</v>
      </c>
      <c r="H50" s="13" t="s">
        <v>125</v>
      </c>
      <c r="I50" s="13" t="s">
        <v>537</v>
      </c>
      <c r="J50" s="18"/>
      <c r="K50" s="17" t="str">
        <f>"135,0"</f>
        <v>135,0</v>
      </c>
      <c r="L50" s="13" t="str">
        <f>"79,0155"</f>
        <v>79,0155</v>
      </c>
      <c r="M50" s="17"/>
    </row>
    <row r="51" spans="1:13">
      <c r="A51" s="17" t="s">
        <v>605</v>
      </c>
      <c r="B51" s="13" t="s">
        <v>606</v>
      </c>
      <c r="C51" s="13" t="s">
        <v>607</v>
      </c>
      <c r="D51" s="13" t="str">
        <f>"0,6055"</f>
        <v>0,6055</v>
      </c>
      <c r="E51" s="17" t="s">
        <v>28</v>
      </c>
      <c r="F51" s="17" t="s">
        <v>19</v>
      </c>
      <c r="G51" s="18" t="s">
        <v>125</v>
      </c>
      <c r="H51" s="13" t="s">
        <v>125</v>
      </c>
      <c r="I51" s="18" t="s">
        <v>527</v>
      </c>
      <c r="J51" s="18"/>
      <c r="K51" s="17" t="str">
        <f>"132,5"</f>
        <v>132,5</v>
      </c>
      <c r="L51" s="13" t="str">
        <f>"80,2287"</f>
        <v>80,2287</v>
      </c>
      <c r="M51" s="17"/>
    </row>
    <row r="52" spans="1:13">
      <c r="A52" s="17" t="s">
        <v>608</v>
      </c>
      <c r="B52" s="13" t="s">
        <v>609</v>
      </c>
      <c r="C52" s="13" t="s">
        <v>150</v>
      </c>
      <c r="D52" s="13" t="str">
        <f>"0,5853"</f>
        <v>0,5853</v>
      </c>
      <c r="E52" s="17" t="s">
        <v>28</v>
      </c>
      <c r="F52" s="17" t="s">
        <v>19</v>
      </c>
      <c r="G52" s="18" t="s">
        <v>107</v>
      </c>
      <c r="H52" s="18" t="s">
        <v>108</v>
      </c>
      <c r="I52" s="18" t="s">
        <v>108</v>
      </c>
      <c r="J52" s="18"/>
      <c r="K52" s="17" t="str">
        <f>"0.00"</f>
        <v>0.00</v>
      </c>
      <c r="L52" s="13" t="str">
        <f>"0,0000"</f>
        <v>0,0000</v>
      </c>
      <c r="M52" s="17"/>
    </row>
    <row r="53" spans="1:13">
      <c r="A53" s="17" t="s">
        <v>611</v>
      </c>
      <c r="B53" s="13" t="s">
        <v>612</v>
      </c>
      <c r="C53" s="13" t="s">
        <v>613</v>
      </c>
      <c r="D53" s="13" t="str">
        <f>"0,5947"</f>
        <v>0,5947</v>
      </c>
      <c r="E53" s="17" t="s">
        <v>28</v>
      </c>
      <c r="F53" s="17" t="s">
        <v>19</v>
      </c>
      <c r="G53" s="13" t="s">
        <v>614</v>
      </c>
      <c r="H53" s="13" t="s">
        <v>206</v>
      </c>
      <c r="I53" s="13" t="s">
        <v>207</v>
      </c>
      <c r="J53" s="18"/>
      <c r="K53" s="17" t="str">
        <f>"165,0"</f>
        <v>165,0</v>
      </c>
      <c r="L53" s="13" t="str">
        <f>"98,1255"</f>
        <v>98,1255</v>
      </c>
      <c r="M53" s="17"/>
    </row>
    <row r="54" spans="1:13">
      <c r="A54" s="17" t="s">
        <v>616</v>
      </c>
      <c r="B54" s="13" t="s">
        <v>617</v>
      </c>
      <c r="C54" s="13" t="s">
        <v>618</v>
      </c>
      <c r="D54" s="13" t="str">
        <f>"0,5965"</f>
        <v>0,5965</v>
      </c>
      <c r="E54" s="17" t="s">
        <v>190</v>
      </c>
      <c r="F54" s="17" t="s">
        <v>191</v>
      </c>
      <c r="G54" s="13" t="s">
        <v>360</v>
      </c>
      <c r="H54" s="13" t="s">
        <v>108</v>
      </c>
      <c r="I54" s="18" t="s">
        <v>131</v>
      </c>
      <c r="J54" s="18"/>
      <c r="K54" s="17" t="str">
        <f>"125,0"</f>
        <v>125,0</v>
      </c>
      <c r="L54" s="13" t="str">
        <f>"75,9046"</f>
        <v>75,9046</v>
      </c>
      <c r="M54" s="17"/>
    </row>
    <row r="55" spans="1:13">
      <c r="A55" s="17" t="s">
        <v>587</v>
      </c>
      <c r="B55" s="13" t="s">
        <v>619</v>
      </c>
      <c r="C55" s="13" t="s">
        <v>589</v>
      </c>
      <c r="D55" s="13" t="str">
        <f>"0,5881"</f>
        <v>0,5881</v>
      </c>
      <c r="E55" s="17" t="s">
        <v>28</v>
      </c>
      <c r="F55" s="17" t="s">
        <v>165</v>
      </c>
      <c r="G55" s="13" t="s">
        <v>207</v>
      </c>
      <c r="H55" s="13" t="s">
        <v>39</v>
      </c>
      <c r="I55" s="18" t="s">
        <v>184</v>
      </c>
      <c r="J55" s="18"/>
      <c r="K55" s="17" t="str">
        <f>"180,0"</f>
        <v>180,0</v>
      </c>
      <c r="L55" s="13" t="str">
        <f>"115,5969"</f>
        <v>115,5969</v>
      </c>
      <c r="M55" s="17"/>
    </row>
    <row r="56" spans="1:13">
      <c r="A56" s="19" t="s">
        <v>621</v>
      </c>
      <c r="B56" s="14" t="s">
        <v>622</v>
      </c>
      <c r="C56" s="14" t="s">
        <v>143</v>
      </c>
      <c r="D56" s="14" t="str">
        <f>"0,5914"</f>
        <v>0,5914</v>
      </c>
      <c r="E56" s="19" t="s">
        <v>28</v>
      </c>
      <c r="F56" s="19" t="s">
        <v>19</v>
      </c>
      <c r="G56" s="14" t="s">
        <v>115</v>
      </c>
      <c r="H56" s="14" t="s">
        <v>206</v>
      </c>
      <c r="I56" s="14" t="s">
        <v>284</v>
      </c>
      <c r="J56" s="20"/>
      <c r="K56" s="19" t="str">
        <f>"167,5"</f>
        <v>167,5</v>
      </c>
      <c r="L56" s="14" t="str">
        <f>"119,2676"</f>
        <v>119,2676</v>
      </c>
      <c r="M56" s="19"/>
    </row>
    <row r="58" spans="1:13" ht="15">
      <c r="A58" s="56" t="s">
        <v>23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1:13">
      <c r="A59" s="15" t="s">
        <v>624</v>
      </c>
      <c r="B59" s="12" t="s">
        <v>625</v>
      </c>
      <c r="C59" s="12" t="s">
        <v>626</v>
      </c>
      <c r="D59" s="12" t="str">
        <f>"0,5622"</f>
        <v>0,5622</v>
      </c>
      <c r="E59" s="15" t="s">
        <v>28</v>
      </c>
      <c r="F59" s="15" t="s">
        <v>19</v>
      </c>
      <c r="G59" s="12" t="s">
        <v>260</v>
      </c>
      <c r="H59" s="12" t="s">
        <v>271</v>
      </c>
      <c r="I59" s="16" t="s">
        <v>159</v>
      </c>
      <c r="J59" s="16"/>
      <c r="K59" s="15" t="str">
        <f>"215,0"</f>
        <v>215,0</v>
      </c>
      <c r="L59" s="12" t="str">
        <f>"120,8730"</f>
        <v>120,8730</v>
      </c>
      <c r="M59" s="15"/>
    </row>
    <row r="60" spans="1:13">
      <c r="A60" s="17" t="s">
        <v>628</v>
      </c>
      <c r="B60" s="13" t="s">
        <v>629</v>
      </c>
      <c r="C60" s="13" t="s">
        <v>630</v>
      </c>
      <c r="D60" s="13" t="str">
        <f>"0,5543"</f>
        <v>0,5543</v>
      </c>
      <c r="E60" s="17" t="s">
        <v>28</v>
      </c>
      <c r="F60" s="17" t="s">
        <v>137</v>
      </c>
      <c r="G60" s="18" t="s">
        <v>20</v>
      </c>
      <c r="H60" s="13" t="s">
        <v>20</v>
      </c>
      <c r="I60" s="13" t="s">
        <v>631</v>
      </c>
      <c r="J60" s="18"/>
      <c r="K60" s="17" t="str">
        <f>"147,5"</f>
        <v>147,5</v>
      </c>
      <c r="L60" s="13" t="str">
        <f>"81,7593"</f>
        <v>81,7593</v>
      </c>
      <c r="M60" s="17"/>
    </row>
    <row r="61" spans="1:13">
      <c r="A61" s="17" t="s">
        <v>633</v>
      </c>
      <c r="B61" s="13" t="s">
        <v>634</v>
      </c>
      <c r="C61" s="13" t="s">
        <v>635</v>
      </c>
      <c r="D61" s="13" t="str">
        <f>"0,5583"</f>
        <v>0,5583</v>
      </c>
      <c r="E61" s="17" t="s">
        <v>28</v>
      </c>
      <c r="F61" s="17" t="s">
        <v>38</v>
      </c>
      <c r="G61" s="18" t="s">
        <v>262</v>
      </c>
      <c r="H61" s="18" t="s">
        <v>262</v>
      </c>
      <c r="I61" s="13" t="s">
        <v>262</v>
      </c>
      <c r="J61" s="18"/>
      <c r="K61" s="17" t="str">
        <f>"145,0"</f>
        <v>145,0</v>
      </c>
      <c r="L61" s="13" t="str">
        <f>"80,9535"</f>
        <v>80,9535</v>
      </c>
      <c r="M61" s="17"/>
    </row>
    <row r="62" spans="1:13">
      <c r="A62" s="17" t="s">
        <v>624</v>
      </c>
      <c r="B62" s="13" t="s">
        <v>636</v>
      </c>
      <c r="C62" s="13" t="s">
        <v>626</v>
      </c>
      <c r="D62" s="13" t="str">
        <f>"0,5622"</f>
        <v>0,5622</v>
      </c>
      <c r="E62" s="17" t="s">
        <v>28</v>
      </c>
      <c r="F62" s="17" t="s">
        <v>19</v>
      </c>
      <c r="G62" s="13" t="s">
        <v>260</v>
      </c>
      <c r="H62" s="13" t="s">
        <v>271</v>
      </c>
      <c r="I62" s="18" t="s">
        <v>159</v>
      </c>
      <c r="J62" s="18"/>
      <c r="K62" s="17" t="str">
        <f>"215,0"</f>
        <v>215,0</v>
      </c>
      <c r="L62" s="13" t="str">
        <f>"123,0487"</f>
        <v>123,0487</v>
      </c>
      <c r="M62" s="17"/>
    </row>
    <row r="63" spans="1:13">
      <c r="A63" s="17" t="s">
        <v>638</v>
      </c>
      <c r="B63" s="13" t="s">
        <v>639</v>
      </c>
      <c r="C63" s="13" t="s">
        <v>640</v>
      </c>
      <c r="D63" s="13" t="str">
        <f>"0,5768"</f>
        <v>0,5768</v>
      </c>
      <c r="E63" s="17" t="s">
        <v>28</v>
      </c>
      <c r="F63" s="17" t="s">
        <v>641</v>
      </c>
      <c r="G63" s="13" t="s">
        <v>261</v>
      </c>
      <c r="H63" s="13" t="s">
        <v>194</v>
      </c>
      <c r="I63" s="18" t="s">
        <v>208</v>
      </c>
      <c r="J63" s="18"/>
      <c r="K63" s="17" t="str">
        <f>"140,0"</f>
        <v>140,0</v>
      </c>
      <c r="L63" s="13" t="str">
        <f>"86,3239"</f>
        <v>86,3239</v>
      </c>
      <c r="M63" s="17"/>
    </row>
    <row r="64" spans="1:13">
      <c r="A64" s="17" t="s">
        <v>643</v>
      </c>
      <c r="B64" s="13" t="s">
        <v>644</v>
      </c>
      <c r="C64" s="13" t="s">
        <v>645</v>
      </c>
      <c r="D64" s="13" t="str">
        <f>"0,5723"</f>
        <v>0,5723</v>
      </c>
      <c r="E64" s="17" t="s">
        <v>28</v>
      </c>
      <c r="F64" s="17" t="s">
        <v>19</v>
      </c>
      <c r="G64" s="13" t="s">
        <v>646</v>
      </c>
      <c r="H64" s="13" t="s">
        <v>456</v>
      </c>
      <c r="I64" s="13" t="s">
        <v>647</v>
      </c>
      <c r="J64" s="18"/>
      <c r="K64" s="17" t="str">
        <f>"112,5"</f>
        <v>112,5</v>
      </c>
      <c r="L64" s="13" t="str">
        <f>"79,7715"</f>
        <v>79,7715</v>
      </c>
      <c r="M64" s="17"/>
    </row>
    <row r="65" spans="1:13">
      <c r="A65" s="19" t="s">
        <v>649</v>
      </c>
      <c r="B65" s="14" t="s">
        <v>650</v>
      </c>
      <c r="C65" s="14" t="s">
        <v>651</v>
      </c>
      <c r="D65" s="14" t="str">
        <f>"0,5678"</f>
        <v>0,5678</v>
      </c>
      <c r="E65" s="19" t="s">
        <v>28</v>
      </c>
      <c r="F65" s="19" t="s">
        <v>19</v>
      </c>
      <c r="G65" s="14" t="s">
        <v>457</v>
      </c>
      <c r="H65" s="20" t="s">
        <v>353</v>
      </c>
      <c r="I65" s="14" t="s">
        <v>652</v>
      </c>
      <c r="J65" s="20"/>
      <c r="K65" s="19" t="str">
        <f>"122,5"</f>
        <v>122,5</v>
      </c>
      <c r="L65" s="14" t="str">
        <f>"118,2443"</f>
        <v>118,2443</v>
      </c>
      <c r="M65" s="19"/>
    </row>
    <row r="67" spans="1:13" ht="15">
      <c r="A67" s="56" t="s">
        <v>33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3">
      <c r="A68" s="15" t="s">
        <v>654</v>
      </c>
      <c r="B68" s="12" t="s">
        <v>655</v>
      </c>
      <c r="C68" s="12" t="s">
        <v>656</v>
      </c>
      <c r="D68" s="12" t="str">
        <f>"0,5384"</f>
        <v>0,5384</v>
      </c>
      <c r="E68" s="15" t="s">
        <v>130</v>
      </c>
      <c r="F68" s="15" t="s">
        <v>66</v>
      </c>
      <c r="G68" s="12" t="s">
        <v>173</v>
      </c>
      <c r="H68" s="12" t="s">
        <v>174</v>
      </c>
      <c r="I68" s="12" t="s">
        <v>211</v>
      </c>
      <c r="J68" s="16"/>
      <c r="K68" s="15" t="str">
        <f>"212,5"</f>
        <v>212,5</v>
      </c>
      <c r="L68" s="12" t="str">
        <f>"114,4100"</f>
        <v>114,4100</v>
      </c>
      <c r="M68" s="15"/>
    </row>
    <row r="69" spans="1:13">
      <c r="A69" s="17" t="s">
        <v>658</v>
      </c>
      <c r="B69" s="13" t="s">
        <v>659</v>
      </c>
      <c r="C69" s="13" t="s">
        <v>660</v>
      </c>
      <c r="D69" s="13" t="str">
        <f>"0,5372"</f>
        <v>0,5372</v>
      </c>
      <c r="E69" s="17" t="s">
        <v>28</v>
      </c>
      <c r="F69" s="17" t="s">
        <v>122</v>
      </c>
      <c r="G69" s="13" t="s">
        <v>139</v>
      </c>
      <c r="H69" s="18" t="s">
        <v>661</v>
      </c>
      <c r="I69" s="13" t="s">
        <v>166</v>
      </c>
      <c r="J69" s="18"/>
      <c r="K69" s="17" t="str">
        <f>"205,0"</f>
        <v>205,0</v>
      </c>
      <c r="L69" s="13" t="str">
        <f>"110,1260"</f>
        <v>110,1260</v>
      </c>
      <c r="M69" s="17"/>
    </row>
    <row r="70" spans="1:13">
      <c r="A70" s="17" t="s">
        <v>663</v>
      </c>
      <c r="B70" s="13" t="s">
        <v>664</v>
      </c>
      <c r="C70" s="13" t="s">
        <v>290</v>
      </c>
      <c r="D70" s="13" t="str">
        <f>"0,5407"</f>
        <v>0,5407</v>
      </c>
      <c r="E70" s="17" t="s">
        <v>28</v>
      </c>
      <c r="F70" s="17" t="s">
        <v>665</v>
      </c>
      <c r="G70" s="13" t="s">
        <v>206</v>
      </c>
      <c r="H70" s="13" t="s">
        <v>599</v>
      </c>
      <c r="I70" s="13" t="s">
        <v>300</v>
      </c>
      <c r="J70" s="18"/>
      <c r="K70" s="17" t="str">
        <f>"172,5"</f>
        <v>172,5</v>
      </c>
      <c r="L70" s="13" t="str">
        <f>"93,2708"</f>
        <v>93,2708</v>
      </c>
      <c r="M70" s="17"/>
    </row>
    <row r="71" spans="1:13">
      <c r="A71" s="17" t="s">
        <v>667</v>
      </c>
      <c r="B71" s="13" t="s">
        <v>668</v>
      </c>
      <c r="C71" s="13" t="s">
        <v>669</v>
      </c>
      <c r="D71" s="13" t="str">
        <f>"0,5410"</f>
        <v>0,5410</v>
      </c>
      <c r="E71" s="17" t="s">
        <v>28</v>
      </c>
      <c r="F71" s="17" t="s">
        <v>19</v>
      </c>
      <c r="G71" s="18" t="s">
        <v>585</v>
      </c>
      <c r="H71" s="13" t="s">
        <v>585</v>
      </c>
      <c r="I71" s="18" t="s">
        <v>222</v>
      </c>
      <c r="J71" s="18"/>
      <c r="K71" s="17" t="str">
        <f>"152,5"</f>
        <v>152,5</v>
      </c>
      <c r="L71" s="13" t="str">
        <f>"82,5025"</f>
        <v>82,5025</v>
      </c>
      <c r="M71" s="17"/>
    </row>
    <row r="72" spans="1:13">
      <c r="A72" s="17" t="s">
        <v>671</v>
      </c>
      <c r="B72" s="13" t="s">
        <v>672</v>
      </c>
      <c r="C72" s="13" t="s">
        <v>673</v>
      </c>
      <c r="D72" s="13" t="str">
        <f>"0,5382"</f>
        <v>0,5382</v>
      </c>
      <c r="E72" s="17" t="s">
        <v>28</v>
      </c>
      <c r="F72" s="17" t="s">
        <v>674</v>
      </c>
      <c r="G72" s="13" t="s">
        <v>115</v>
      </c>
      <c r="H72" s="18" t="s">
        <v>599</v>
      </c>
      <c r="I72" s="18" t="s">
        <v>599</v>
      </c>
      <c r="J72" s="18"/>
      <c r="K72" s="17" t="str">
        <f>"150,0"</f>
        <v>150,0</v>
      </c>
      <c r="L72" s="13" t="str">
        <f>"80,7300"</f>
        <v>80,7300</v>
      </c>
      <c r="M72" s="17"/>
    </row>
    <row r="73" spans="1:13">
      <c r="A73" s="17" t="s">
        <v>675</v>
      </c>
      <c r="B73" s="13" t="s">
        <v>406</v>
      </c>
      <c r="C73" s="13" t="s">
        <v>407</v>
      </c>
      <c r="D73" s="13" t="str">
        <f>"0,5424"</f>
        <v>0,5424</v>
      </c>
      <c r="E73" s="17" t="s">
        <v>28</v>
      </c>
      <c r="F73" s="17" t="s">
        <v>19</v>
      </c>
      <c r="G73" s="13" t="s">
        <v>676</v>
      </c>
      <c r="H73" s="18" t="s">
        <v>631</v>
      </c>
      <c r="I73" s="18" t="s">
        <v>631</v>
      </c>
      <c r="J73" s="18"/>
      <c r="K73" s="17" t="str">
        <f>"137,5"</f>
        <v>137,5</v>
      </c>
      <c r="L73" s="13" t="str">
        <f>"74,5800"</f>
        <v>74,5800</v>
      </c>
      <c r="M73" s="17"/>
    </row>
    <row r="74" spans="1:13">
      <c r="A74" s="19" t="s">
        <v>411</v>
      </c>
      <c r="B74" s="14" t="s">
        <v>412</v>
      </c>
      <c r="C74" s="14" t="s">
        <v>413</v>
      </c>
      <c r="D74" s="14" t="str">
        <f>"0,5461"</f>
        <v>0,5461</v>
      </c>
      <c r="E74" s="19" t="s">
        <v>28</v>
      </c>
      <c r="F74" s="19" t="s">
        <v>414</v>
      </c>
      <c r="G74" s="14" t="s">
        <v>39</v>
      </c>
      <c r="H74" s="14" t="s">
        <v>677</v>
      </c>
      <c r="I74" s="14" t="s">
        <v>215</v>
      </c>
      <c r="J74" s="20"/>
      <c r="K74" s="19" t="str">
        <f>"195,0"</f>
        <v>195,0</v>
      </c>
      <c r="L74" s="14" t="str">
        <f>"106,4895"</f>
        <v>106,4895</v>
      </c>
      <c r="M74" s="19"/>
    </row>
    <row r="76" spans="1:13" ht="15">
      <c r="A76" s="56" t="s">
        <v>42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3">
      <c r="A77" s="15" t="s">
        <v>679</v>
      </c>
      <c r="B77" s="12" t="s">
        <v>680</v>
      </c>
      <c r="C77" s="12" t="s">
        <v>681</v>
      </c>
      <c r="D77" s="12" t="str">
        <f>"0,5279"</f>
        <v>0,5279</v>
      </c>
      <c r="E77" s="15" t="s">
        <v>28</v>
      </c>
      <c r="F77" s="15" t="s">
        <v>19</v>
      </c>
      <c r="G77" s="12" t="s">
        <v>682</v>
      </c>
      <c r="H77" s="12" t="s">
        <v>683</v>
      </c>
      <c r="I77" s="12" t="s">
        <v>263</v>
      </c>
      <c r="J77" s="16"/>
      <c r="K77" s="15" t="str">
        <f>"190,0"</f>
        <v>190,0</v>
      </c>
      <c r="L77" s="12" t="str">
        <f>"100,3010"</f>
        <v>100,3010</v>
      </c>
      <c r="M77" s="15"/>
    </row>
    <row r="78" spans="1:13">
      <c r="A78" s="17" t="s">
        <v>685</v>
      </c>
      <c r="B78" s="13" t="s">
        <v>686</v>
      </c>
      <c r="C78" s="13" t="s">
        <v>687</v>
      </c>
      <c r="D78" s="13" t="str">
        <f>"0,5248"</f>
        <v>0,5248</v>
      </c>
      <c r="E78" s="17" t="s">
        <v>28</v>
      </c>
      <c r="F78" s="17" t="s">
        <v>688</v>
      </c>
      <c r="G78" s="13" t="s">
        <v>179</v>
      </c>
      <c r="H78" s="13" t="s">
        <v>39</v>
      </c>
      <c r="I78" s="13" t="s">
        <v>145</v>
      </c>
      <c r="J78" s="18"/>
      <c r="K78" s="17" t="str">
        <f>"185,0"</f>
        <v>185,0</v>
      </c>
      <c r="L78" s="13" t="str">
        <f>"97,0880"</f>
        <v>97,0880</v>
      </c>
      <c r="M78" s="17"/>
    </row>
    <row r="79" spans="1:13">
      <c r="A79" s="17" t="s">
        <v>690</v>
      </c>
      <c r="B79" s="13" t="s">
        <v>691</v>
      </c>
      <c r="C79" s="13" t="s">
        <v>65</v>
      </c>
      <c r="D79" s="13" t="str">
        <f>"0,5237"</f>
        <v>0,5237</v>
      </c>
      <c r="E79" s="17" t="s">
        <v>28</v>
      </c>
      <c r="F79" s="17" t="s">
        <v>19</v>
      </c>
      <c r="G79" s="13" t="s">
        <v>180</v>
      </c>
      <c r="H79" s="13" t="s">
        <v>39</v>
      </c>
      <c r="I79" s="13" t="s">
        <v>263</v>
      </c>
      <c r="J79" s="18"/>
      <c r="K79" s="17" t="str">
        <f>"190,0"</f>
        <v>190,0</v>
      </c>
      <c r="L79" s="13" t="str">
        <f>"99,8015"</f>
        <v>99,8015</v>
      </c>
      <c r="M79" s="17"/>
    </row>
    <row r="80" spans="1:13">
      <c r="A80" s="17" t="s">
        <v>693</v>
      </c>
      <c r="B80" s="13" t="s">
        <v>694</v>
      </c>
      <c r="C80" s="13" t="s">
        <v>695</v>
      </c>
      <c r="D80" s="13" t="str">
        <f>"0,5309"</f>
        <v>0,5309</v>
      </c>
      <c r="E80" s="17" t="s">
        <v>28</v>
      </c>
      <c r="F80" s="17" t="s">
        <v>19</v>
      </c>
      <c r="G80" s="13" t="s">
        <v>207</v>
      </c>
      <c r="H80" s="13" t="s">
        <v>179</v>
      </c>
      <c r="I80" s="18" t="s">
        <v>192</v>
      </c>
      <c r="J80" s="18"/>
      <c r="K80" s="17" t="str">
        <f>"170,0"</f>
        <v>170,0</v>
      </c>
      <c r="L80" s="13" t="str">
        <f>"91,0653"</f>
        <v>91,0653</v>
      </c>
      <c r="M80" s="17"/>
    </row>
    <row r="81" spans="1:13">
      <c r="A81" s="17" t="s">
        <v>697</v>
      </c>
      <c r="B81" s="13" t="s">
        <v>698</v>
      </c>
      <c r="C81" s="13" t="s">
        <v>699</v>
      </c>
      <c r="D81" s="13" t="str">
        <f>"0,5255"</f>
        <v>0,5255</v>
      </c>
      <c r="E81" s="17" t="s">
        <v>28</v>
      </c>
      <c r="F81" s="17" t="s">
        <v>19</v>
      </c>
      <c r="G81" s="13" t="s">
        <v>682</v>
      </c>
      <c r="H81" s="18" t="s">
        <v>395</v>
      </c>
      <c r="I81" s="18" t="s">
        <v>395</v>
      </c>
      <c r="J81" s="18"/>
      <c r="K81" s="17" t="str">
        <f>"177,5"</f>
        <v>177,5</v>
      </c>
      <c r="L81" s="13" t="str">
        <f>"106,7080"</f>
        <v>106,7080</v>
      </c>
      <c r="M81" s="17"/>
    </row>
    <row r="82" spans="1:13">
      <c r="A82" s="19" t="s">
        <v>701</v>
      </c>
      <c r="B82" s="14" t="s">
        <v>702</v>
      </c>
      <c r="C82" s="14" t="s">
        <v>703</v>
      </c>
      <c r="D82" s="14" t="str">
        <f>"0,5293"</f>
        <v>0,5293</v>
      </c>
      <c r="E82" s="19" t="s">
        <v>28</v>
      </c>
      <c r="F82" s="19" t="s">
        <v>19</v>
      </c>
      <c r="G82" s="14" t="s">
        <v>180</v>
      </c>
      <c r="H82" s="14" t="s">
        <v>192</v>
      </c>
      <c r="I82" s="20" t="s">
        <v>704</v>
      </c>
      <c r="J82" s="20"/>
      <c r="K82" s="19" t="str">
        <f>"175,0"</f>
        <v>175,0</v>
      </c>
      <c r="L82" s="14" t="str">
        <f>"103,4649"</f>
        <v>103,4649</v>
      </c>
      <c r="M82" s="19"/>
    </row>
    <row r="84" spans="1:13" ht="15">
      <c r="A84" s="56" t="s">
        <v>705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3">
      <c r="A85" s="9" t="s">
        <v>707</v>
      </c>
      <c r="B85" s="10" t="s">
        <v>708</v>
      </c>
      <c r="C85" s="10" t="s">
        <v>709</v>
      </c>
      <c r="D85" s="10" t="str">
        <f>"0,5154"</f>
        <v>0,5154</v>
      </c>
      <c r="E85" s="9" t="s">
        <v>28</v>
      </c>
      <c r="F85" s="9" t="s">
        <v>19</v>
      </c>
      <c r="G85" s="10" t="s">
        <v>115</v>
      </c>
      <c r="H85" s="10" t="s">
        <v>116</v>
      </c>
      <c r="I85" s="10" t="s">
        <v>206</v>
      </c>
      <c r="J85" s="11"/>
      <c r="K85" s="9" t="str">
        <f>"160,0"</f>
        <v>160,0</v>
      </c>
      <c r="L85" s="10" t="str">
        <f>"113,8003"</f>
        <v>113,8003</v>
      </c>
      <c r="M85" s="9"/>
    </row>
    <row r="87" spans="1:13" ht="15">
      <c r="E87" s="21" t="s">
        <v>69</v>
      </c>
    </row>
    <row r="88" spans="1:13" ht="15">
      <c r="E88" s="21" t="s">
        <v>70</v>
      </c>
    </row>
    <row r="89" spans="1:13" ht="15">
      <c r="E89" s="21" t="s">
        <v>71</v>
      </c>
    </row>
    <row r="90" spans="1:13">
      <c r="E90" s="4" t="s">
        <v>72</v>
      </c>
    </row>
    <row r="91" spans="1:13">
      <c r="E91" s="4" t="s">
        <v>73</v>
      </c>
    </row>
    <row r="92" spans="1:13">
      <c r="E92" s="4" t="s">
        <v>74</v>
      </c>
    </row>
    <row r="95" spans="1:13" ht="18">
      <c r="A95" s="22" t="s">
        <v>75</v>
      </c>
      <c r="B95" s="23"/>
    </row>
    <row r="96" spans="1:13" ht="15">
      <c r="A96" s="24" t="s">
        <v>76</v>
      </c>
      <c r="B96" s="25"/>
    </row>
    <row r="97" spans="1:5" ht="14.25">
      <c r="A97" s="27"/>
      <c r="B97" s="28" t="s">
        <v>434</v>
      </c>
    </row>
    <row r="98" spans="1:5" ht="15">
      <c r="A98" s="29" t="s">
        <v>0</v>
      </c>
      <c r="B98" s="29" t="s">
        <v>78</v>
      </c>
      <c r="C98" s="29" t="s">
        <v>79</v>
      </c>
      <c r="D98" s="29" t="s">
        <v>80</v>
      </c>
      <c r="E98" s="29" t="s">
        <v>11</v>
      </c>
    </row>
    <row r="99" spans="1:5">
      <c r="A99" s="26" t="s">
        <v>459</v>
      </c>
      <c r="B99" s="5" t="s">
        <v>710</v>
      </c>
      <c r="C99" s="5" t="s">
        <v>425</v>
      </c>
      <c r="D99" s="5" t="s">
        <v>711</v>
      </c>
      <c r="E99" s="30" t="s">
        <v>712</v>
      </c>
    </row>
    <row r="101" spans="1:5" ht="14.25">
      <c r="A101" s="27"/>
      <c r="B101" s="28" t="s">
        <v>84</v>
      </c>
    </row>
    <row r="102" spans="1:5" ht="15">
      <c r="A102" s="29" t="s">
        <v>0</v>
      </c>
      <c r="B102" s="29" t="s">
        <v>78</v>
      </c>
      <c r="C102" s="29" t="s">
        <v>79</v>
      </c>
      <c r="D102" s="29" t="s">
        <v>80</v>
      </c>
      <c r="E102" s="29" t="s">
        <v>11</v>
      </c>
    </row>
    <row r="103" spans="1:5">
      <c r="A103" s="26" t="s">
        <v>468</v>
      </c>
      <c r="B103" s="5" t="s">
        <v>85</v>
      </c>
      <c r="C103" s="5" t="s">
        <v>713</v>
      </c>
      <c r="D103" s="5" t="s">
        <v>472</v>
      </c>
      <c r="E103" s="30" t="s">
        <v>714</v>
      </c>
    </row>
    <row r="105" spans="1:5" ht="14.25">
      <c r="A105" s="27"/>
      <c r="B105" s="28" t="s">
        <v>77</v>
      </c>
    </row>
    <row r="106" spans="1:5" ht="15">
      <c r="A106" s="29" t="s">
        <v>0</v>
      </c>
      <c r="B106" s="29" t="s">
        <v>78</v>
      </c>
      <c r="C106" s="29" t="s">
        <v>79</v>
      </c>
      <c r="D106" s="29" t="s">
        <v>80</v>
      </c>
      <c r="E106" s="29" t="s">
        <v>11</v>
      </c>
    </row>
    <row r="107" spans="1:5">
      <c r="A107" s="26" t="s">
        <v>319</v>
      </c>
      <c r="B107" s="5" t="s">
        <v>77</v>
      </c>
      <c r="C107" s="5" t="s">
        <v>425</v>
      </c>
      <c r="D107" s="5" t="s">
        <v>465</v>
      </c>
      <c r="E107" s="30" t="s">
        <v>715</v>
      </c>
    </row>
    <row r="108" spans="1:5">
      <c r="A108" s="26" t="s">
        <v>481</v>
      </c>
      <c r="B108" s="5" t="s">
        <v>77</v>
      </c>
      <c r="C108" s="5" t="s">
        <v>429</v>
      </c>
      <c r="D108" s="5" t="s">
        <v>480</v>
      </c>
      <c r="E108" s="30" t="s">
        <v>716</v>
      </c>
    </row>
    <row r="110" spans="1:5" ht="14.25">
      <c r="A110" s="27"/>
      <c r="B110" s="28" t="s">
        <v>96</v>
      </c>
    </row>
    <row r="111" spans="1:5" ht="15">
      <c r="A111" s="29" t="s">
        <v>0</v>
      </c>
      <c r="B111" s="29" t="s">
        <v>78</v>
      </c>
      <c r="C111" s="29" t="s">
        <v>79</v>
      </c>
      <c r="D111" s="29" t="s">
        <v>80</v>
      </c>
      <c r="E111" s="29" t="s">
        <v>11</v>
      </c>
    </row>
    <row r="112" spans="1:5">
      <c r="A112" s="26" t="s">
        <v>474</v>
      </c>
      <c r="B112" s="5" t="s">
        <v>717</v>
      </c>
      <c r="C112" s="5" t="s">
        <v>713</v>
      </c>
      <c r="D112" s="5" t="s">
        <v>480</v>
      </c>
      <c r="E112" s="30" t="s">
        <v>718</v>
      </c>
    </row>
    <row r="115" spans="1:5" ht="15">
      <c r="A115" s="24" t="s">
        <v>83</v>
      </c>
      <c r="B115" s="25"/>
    </row>
    <row r="116" spans="1:5" ht="14.25">
      <c r="A116" s="27"/>
      <c r="B116" s="28" t="s">
        <v>434</v>
      </c>
    </row>
    <row r="117" spans="1:5" ht="15">
      <c r="A117" s="29" t="s">
        <v>0</v>
      </c>
      <c r="B117" s="29" t="s">
        <v>78</v>
      </c>
      <c r="C117" s="29" t="s">
        <v>79</v>
      </c>
      <c r="D117" s="29" t="s">
        <v>80</v>
      </c>
      <c r="E117" s="29" t="s">
        <v>11</v>
      </c>
    </row>
    <row r="118" spans="1:5">
      <c r="A118" s="26" t="s">
        <v>485</v>
      </c>
      <c r="B118" s="5" t="s">
        <v>435</v>
      </c>
      <c r="C118" s="5" t="s">
        <v>81</v>
      </c>
      <c r="D118" s="5" t="s">
        <v>533</v>
      </c>
      <c r="E118" s="30" t="s">
        <v>719</v>
      </c>
    </row>
    <row r="119" spans="1:5">
      <c r="A119" s="26" t="s">
        <v>491</v>
      </c>
      <c r="B119" s="5" t="s">
        <v>435</v>
      </c>
      <c r="C119" s="5" t="s">
        <v>81</v>
      </c>
      <c r="D119" s="5" t="s">
        <v>123</v>
      </c>
      <c r="E119" s="30" t="s">
        <v>720</v>
      </c>
    </row>
    <row r="121" spans="1:5" ht="14.25">
      <c r="A121" s="27"/>
      <c r="B121" s="28" t="s">
        <v>84</v>
      </c>
    </row>
    <row r="122" spans="1:5" ht="15">
      <c r="A122" s="29" t="s">
        <v>0</v>
      </c>
      <c r="B122" s="29" t="s">
        <v>78</v>
      </c>
      <c r="C122" s="29" t="s">
        <v>79</v>
      </c>
      <c r="D122" s="29" t="s">
        <v>80</v>
      </c>
      <c r="E122" s="29" t="s">
        <v>11</v>
      </c>
    </row>
    <row r="123" spans="1:5">
      <c r="A123" s="26" t="s">
        <v>542</v>
      </c>
      <c r="B123" s="5" t="s">
        <v>85</v>
      </c>
      <c r="C123" s="5" t="s">
        <v>221</v>
      </c>
      <c r="D123" s="5" t="s">
        <v>262</v>
      </c>
      <c r="E123" s="30" t="s">
        <v>721</v>
      </c>
    </row>
    <row r="124" spans="1:5">
      <c r="A124" s="26" t="s">
        <v>510</v>
      </c>
      <c r="B124" s="5" t="s">
        <v>85</v>
      </c>
      <c r="C124" s="5" t="s">
        <v>432</v>
      </c>
      <c r="D124" s="5" t="s">
        <v>537</v>
      </c>
      <c r="E124" s="30" t="s">
        <v>722</v>
      </c>
    </row>
    <row r="125" spans="1:5">
      <c r="A125" s="26" t="s">
        <v>496</v>
      </c>
      <c r="B125" s="5" t="s">
        <v>85</v>
      </c>
      <c r="C125" s="5" t="s">
        <v>81</v>
      </c>
      <c r="D125" s="5" t="s">
        <v>107</v>
      </c>
      <c r="E125" s="30" t="s">
        <v>723</v>
      </c>
    </row>
    <row r="126" spans="1:5">
      <c r="A126" s="26" t="s">
        <v>516</v>
      </c>
      <c r="B126" s="5" t="s">
        <v>85</v>
      </c>
      <c r="C126" s="5" t="s">
        <v>432</v>
      </c>
      <c r="D126" s="5" t="s">
        <v>108</v>
      </c>
      <c r="E126" s="30" t="s">
        <v>724</v>
      </c>
    </row>
    <row r="127" spans="1:5">
      <c r="A127" s="26" t="s">
        <v>580</v>
      </c>
      <c r="B127" s="5" t="s">
        <v>85</v>
      </c>
      <c r="C127" s="5" t="s">
        <v>214</v>
      </c>
      <c r="D127" s="5" t="s">
        <v>20</v>
      </c>
      <c r="E127" s="30" t="s">
        <v>725</v>
      </c>
    </row>
    <row r="129" spans="1:5" ht="14.25">
      <c r="A129" s="27"/>
      <c r="B129" s="28" t="s">
        <v>77</v>
      </c>
    </row>
    <row r="130" spans="1:5" ht="15">
      <c r="A130" s="29" t="s">
        <v>0</v>
      </c>
      <c r="B130" s="29" t="s">
        <v>78</v>
      </c>
      <c r="C130" s="29" t="s">
        <v>79</v>
      </c>
      <c r="D130" s="29" t="s">
        <v>80</v>
      </c>
      <c r="E130" s="29" t="s">
        <v>11</v>
      </c>
    </row>
    <row r="131" spans="1:5">
      <c r="A131" s="26" t="s">
        <v>623</v>
      </c>
      <c r="B131" s="5" t="s">
        <v>77</v>
      </c>
      <c r="C131" s="5" t="s">
        <v>88</v>
      </c>
      <c r="D131" s="5" t="s">
        <v>200</v>
      </c>
      <c r="E131" s="30" t="s">
        <v>726</v>
      </c>
    </row>
    <row r="132" spans="1:5">
      <c r="A132" s="26" t="s">
        <v>653</v>
      </c>
      <c r="B132" s="5" t="s">
        <v>77</v>
      </c>
      <c r="C132" s="5" t="s">
        <v>93</v>
      </c>
      <c r="D132" s="5" t="s">
        <v>211</v>
      </c>
      <c r="E132" s="30" t="s">
        <v>727</v>
      </c>
    </row>
    <row r="133" spans="1:5">
      <c r="A133" s="26" t="s">
        <v>547</v>
      </c>
      <c r="B133" s="5" t="s">
        <v>77</v>
      </c>
      <c r="C133" s="5" t="s">
        <v>221</v>
      </c>
      <c r="D133" s="5" t="s">
        <v>144</v>
      </c>
      <c r="E133" s="30" t="s">
        <v>728</v>
      </c>
    </row>
    <row r="134" spans="1:5">
      <c r="A134" s="26" t="s">
        <v>657</v>
      </c>
      <c r="B134" s="5" t="s">
        <v>77</v>
      </c>
      <c r="C134" s="5" t="s">
        <v>93</v>
      </c>
      <c r="D134" s="5" t="s">
        <v>661</v>
      </c>
      <c r="E134" s="30" t="s">
        <v>729</v>
      </c>
    </row>
    <row r="135" spans="1:5">
      <c r="A135" s="26" t="s">
        <v>586</v>
      </c>
      <c r="B135" s="5" t="s">
        <v>77</v>
      </c>
      <c r="C135" s="5" t="s">
        <v>214</v>
      </c>
      <c r="D135" s="5" t="s">
        <v>144</v>
      </c>
      <c r="E135" s="30" t="s">
        <v>730</v>
      </c>
    </row>
    <row r="136" spans="1:5">
      <c r="A136" s="26" t="s">
        <v>551</v>
      </c>
      <c r="B136" s="5" t="s">
        <v>77</v>
      </c>
      <c r="C136" s="5" t="s">
        <v>221</v>
      </c>
      <c r="D136" s="5" t="s">
        <v>21</v>
      </c>
      <c r="E136" s="30" t="s">
        <v>731</v>
      </c>
    </row>
    <row r="137" spans="1:5">
      <c r="A137" s="26" t="s">
        <v>590</v>
      </c>
      <c r="B137" s="5" t="s">
        <v>77</v>
      </c>
      <c r="C137" s="5" t="s">
        <v>214</v>
      </c>
      <c r="D137" s="5" t="s">
        <v>179</v>
      </c>
      <c r="E137" s="30" t="s">
        <v>732</v>
      </c>
    </row>
    <row r="138" spans="1:5">
      <c r="A138" s="26" t="s">
        <v>678</v>
      </c>
      <c r="B138" s="5" t="s">
        <v>77</v>
      </c>
      <c r="C138" s="5" t="s">
        <v>86</v>
      </c>
      <c r="D138" s="5" t="s">
        <v>184</v>
      </c>
      <c r="E138" s="30" t="s">
        <v>733</v>
      </c>
    </row>
    <row r="139" spans="1:5">
      <c r="A139" s="26" t="s">
        <v>555</v>
      </c>
      <c r="B139" s="5" t="s">
        <v>77</v>
      </c>
      <c r="C139" s="5" t="s">
        <v>221</v>
      </c>
      <c r="D139" s="5" t="s">
        <v>21</v>
      </c>
      <c r="E139" s="30" t="s">
        <v>734</v>
      </c>
    </row>
    <row r="140" spans="1:5">
      <c r="A140" s="26" t="s">
        <v>684</v>
      </c>
      <c r="B140" s="5" t="s">
        <v>77</v>
      </c>
      <c r="C140" s="5" t="s">
        <v>86</v>
      </c>
      <c r="D140" s="5" t="s">
        <v>193</v>
      </c>
      <c r="E140" s="30" t="s">
        <v>735</v>
      </c>
    </row>
    <row r="141" spans="1:5">
      <c r="A141" s="26" t="s">
        <v>595</v>
      </c>
      <c r="B141" s="5" t="s">
        <v>77</v>
      </c>
      <c r="C141" s="5" t="s">
        <v>214</v>
      </c>
      <c r="D141" s="5" t="s">
        <v>21</v>
      </c>
      <c r="E141" s="30" t="s">
        <v>736</v>
      </c>
    </row>
    <row r="142" spans="1:5">
      <c r="A142" s="26" t="s">
        <v>501</v>
      </c>
      <c r="B142" s="5" t="s">
        <v>77</v>
      </c>
      <c r="C142" s="5" t="s">
        <v>81</v>
      </c>
      <c r="D142" s="5" t="s">
        <v>108</v>
      </c>
      <c r="E142" s="30" t="s">
        <v>737</v>
      </c>
    </row>
    <row r="143" spans="1:5">
      <c r="A143" s="26" t="s">
        <v>662</v>
      </c>
      <c r="B143" s="5" t="s">
        <v>77</v>
      </c>
      <c r="C143" s="5" t="s">
        <v>93</v>
      </c>
      <c r="D143" s="5" t="s">
        <v>300</v>
      </c>
      <c r="E143" s="30" t="s">
        <v>738</v>
      </c>
    </row>
    <row r="144" spans="1:5">
      <c r="A144" s="26" t="s">
        <v>559</v>
      </c>
      <c r="B144" s="5" t="s">
        <v>77</v>
      </c>
      <c r="C144" s="5" t="s">
        <v>221</v>
      </c>
      <c r="D144" s="5" t="s">
        <v>262</v>
      </c>
      <c r="E144" s="30" t="s">
        <v>739</v>
      </c>
    </row>
    <row r="145" spans="1:5">
      <c r="A145" s="26" t="s">
        <v>563</v>
      </c>
      <c r="B145" s="5" t="s">
        <v>77</v>
      </c>
      <c r="C145" s="5" t="s">
        <v>221</v>
      </c>
      <c r="D145" s="5" t="s">
        <v>262</v>
      </c>
      <c r="E145" s="30" t="s">
        <v>740</v>
      </c>
    </row>
    <row r="146" spans="1:5">
      <c r="A146" s="26" t="s">
        <v>522</v>
      </c>
      <c r="B146" s="5" t="s">
        <v>77</v>
      </c>
      <c r="C146" s="5" t="s">
        <v>432</v>
      </c>
      <c r="D146" s="5" t="s">
        <v>537</v>
      </c>
      <c r="E146" s="30" t="s">
        <v>741</v>
      </c>
    </row>
    <row r="147" spans="1:5">
      <c r="A147" s="26" t="s">
        <v>566</v>
      </c>
      <c r="B147" s="5" t="s">
        <v>77</v>
      </c>
      <c r="C147" s="5" t="s">
        <v>221</v>
      </c>
      <c r="D147" s="5" t="s">
        <v>527</v>
      </c>
      <c r="E147" s="30" t="s">
        <v>742</v>
      </c>
    </row>
    <row r="148" spans="1:5">
      <c r="A148" s="26" t="s">
        <v>600</v>
      </c>
      <c r="B148" s="5" t="s">
        <v>77</v>
      </c>
      <c r="C148" s="5" t="s">
        <v>214</v>
      </c>
      <c r="D148" s="5" t="s">
        <v>20</v>
      </c>
      <c r="E148" s="30" t="s">
        <v>743</v>
      </c>
    </row>
    <row r="149" spans="1:5">
      <c r="A149" s="26" t="s">
        <v>666</v>
      </c>
      <c r="B149" s="5" t="s">
        <v>77</v>
      </c>
      <c r="C149" s="5" t="s">
        <v>93</v>
      </c>
      <c r="D149" s="5" t="s">
        <v>585</v>
      </c>
      <c r="E149" s="30" t="s">
        <v>744</v>
      </c>
    </row>
    <row r="150" spans="1:5">
      <c r="A150" s="26" t="s">
        <v>570</v>
      </c>
      <c r="B150" s="5" t="s">
        <v>77</v>
      </c>
      <c r="C150" s="5" t="s">
        <v>221</v>
      </c>
      <c r="D150" s="5" t="s">
        <v>131</v>
      </c>
      <c r="E150" s="30" t="s">
        <v>745</v>
      </c>
    </row>
    <row r="151" spans="1:5">
      <c r="A151" s="26" t="s">
        <v>574</v>
      </c>
      <c r="B151" s="5" t="s">
        <v>77</v>
      </c>
      <c r="C151" s="5" t="s">
        <v>221</v>
      </c>
      <c r="D151" s="5" t="s">
        <v>131</v>
      </c>
      <c r="E151" s="30" t="s">
        <v>746</v>
      </c>
    </row>
    <row r="152" spans="1:5">
      <c r="A152" s="26" t="s">
        <v>627</v>
      </c>
      <c r="B152" s="5" t="s">
        <v>77</v>
      </c>
      <c r="C152" s="5" t="s">
        <v>88</v>
      </c>
      <c r="D152" s="5" t="s">
        <v>631</v>
      </c>
      <c r="E152" s="30" t="s">
        <v>747</v>
      </c>
    </row>
    <row r="153" spans="1:5">
      <c r="A153" s="26" t="s">
        <v>632</v>
      </c>
      <c r="B153" s="5" t="s">
        <v>77</v>
      </c>
      <c r="C153" s="5" t="s">
        <v>88</v>
      </c>
      <c r="D153" s="5" t="s">
        <v>262</v>
      </c>
      <c r="E153" s="30" t="s">
        <v>748</v>
      </c>
    </row>
    <row r="154" spans="1:5">
      <c r="A154" s="26" t="s">
        <v>670</v>
      </c>
      <c r="B154" s="5" t="s">
        <v>77</v>
      </c>
      <c r="C154" s="5" t="s">
        <v>93</v>
      </c>
      <c r="D154" s="5" t="s">
        <v>208</v>
      </c>
      <c r="E154" s="30" t="s">
        <v>749</v>
      </c>
    </row>
    <row r="156" spans="1:5" ht="14.25">
      <c r="A156" s="27"/>
      <c r="B156" s="28" t="s">
        <v>448</v>
      </c>
    </row>
    <row r="157" spans="1:5" ht="15">
      <c r="A157" s="29" t="s">
        <v>0</v>
      </c>
      <c r="B157" s="29" t="s">
        <v>78</v>
      </c>
      <c r="C157" s="29" t="s">
        <v>79</v>
      </c>
      <c r="D157" s="29" t="s">
        <v>80</v>
      </c>
      <c r="E157" s="29" t="s">
        <v>11</v>
      </c>
    </row>
    <row r="158" spans="1:5">
      <c r="A158" s="26" t="s">
        <v>410</v>
      </c>
      <c r="B158" s="5" t="s">
        <v>449</v>
      </c>
      <c r="C158" s="5" t="s">
        <v>93</v>
      </c>
      <c r="D158" s="5" t="s">
        <v>215</v>
      </c>
      <c r="E158" s="30" t="s">
        <v>750</v>
      </c>
    </row>
    <row r="160" spans="1:5" ht="14.25">
      <c r="A160" s="27"/>
      <c r="B160" s="28" t="s">
        <v>96</v>
      </c>
    </row>
    <row r="161" spans="1:5" ht="15">
      <c r="A161" s="29" t="s">
        <v>0</v>
      </c>
      <c r="B161" s="29" t="s">
        <v>78</v>
      </c>
      <c r="C161" s="29" t="s">
        <v>79</v>
      </c>
      <c r="D161" s="29" t="s">
        <v>80</v>
      </c>
      <c r="E161" s="29" t="s">
        <v>11</v>
      </c>
    </row>
    <row r="162" spans="1:5">
      <c r="A162" s="26" t="s">
        <v>623</v>
      </c>
      <c r="B162" s="5" t="s">
        <v>311</v>
      </c>
      <c r="C162" s="5" t="s">
        <v>88</v>
      </c>
      <c r="D162" s="5" t="s">
        <v>200</v>
      </c>
      <c r="E162" s="30" t="s">
        <v>751</v>
      </c>
    </row>
    <row r="163" spans="1:5">
      <c r="A163" s="26" t="s">
        <v>620</v>
      </c>
      <c r="B163" s="5" t="s">
        <v>717</v>
      </c>
      <c r="C163" s="5" t="s">
        <v>214</v>
      </c>
      <c r="D163" s="5" t="s">
        <v>599</v>
      </c>
      <c r="E163" s="30" t="s">
        <v>752</v>
      </c>
    </row>
    <row r="164" spans="1:5">
      <c r="A164" s="26" t="s">
        <v>648</v>
      </c>
      <c r="B164" s="5" t="s">
        <v>228</v>
      </c>
      <c r="C164" s="5" t="s">
        <v>88</v>
      </c>
      <c r="D164" s="5" t="s">
        <v>353</v>
      </c>
      <c r="E164" s="30" t="s">
        <v>753</v>
      </c>
    </row>
    <row r="165" spans="1:5">
      <c r="A165" s="26" t="s">
        <v>586</v>
      </c>
      <c r="B165" s="5" t="s">
        <v>230</v>
      </c>
      <c r="C165" s="5" t="s">
        <v>214</v>
      </c>
      <c r="D165" s="5" t="s">
        <v>144</v>
      </c>
      <c r="E165" s="30" t="s">
        <v>754</v>
      </c>
    </row>
    <row r="166" spans="1:5">
      <c r="A166" s="26" t="s">
        <v>706</v>
      </c>
      <c r="B166" s="5" t="s">
        <v>97</v>
      </c>
      <c r="C166" s="5" t="s">
        <v>755</v>
      </c>
      <c r="D166" s="5" t="s">
        <v>21</v>
      </c>
      <c r="E166" s="30" t="s">
        <v>756</v>
      </c>
    </row>
    <row r="167" spans="1:5">
      <c r="A167" s="26" t="s">
        <v>696</v>
      </c>
      <c r="B167" s="5" t="s">
        <v>230</v>
      </c>
      <c r="C167" s="5" t="s">
        <v>86</v>
      </c>
      <c r="D167" s="5" t="s">
        <v>704</v>
      </c>
      <c r="E167" s="30" t="s">
        <v>757</v>
      </c>
    </row>
    <row r="168" spans="1:5">
      <c r="A168" s="26" t="s">
        <v>700</v>
      </c>
      <c r="B168" s="5" t="s">
        <v>230</v>
      </c>
      <c r="C168" s="5" t="s">
        <v>86</v>
      </c>
      <c r="D168" s="5" t="s">
        <v>192</v>
      </c>
      <c r="E168" s="30" t="s">
        <v>758</v>
      </c>
    </row>
    <row r="169" spans="1:5">
      <c r="A169" s="26" t="s">
        <v>689</v>
      </c>
      <c r="B169" s="5" t="s">
        <v>311</v>
      </c>
      <c r="C169" s="5" t="s">
        <v>86</v>
      </c>
      <c r="D169" s="5" t="s">
        <v>184</v>
      </c>
      <c r="E169" s="30" t="s">
        <v>759</v>
      </c>
    </row>
    <row r="170" spans="1:5">
      <c r="A170" s="26" t="s">
        <v>610</v>
      </c>
      <c r="B170" s="5" t="s">
        <v>311</v>
      </c>
      <c r="C170" s="5" t="s">
        <v>214</v>
      </c>
      <c r="D170" s="5" t="s">
        <v>22</v>
      </c>
      <c r="E170" s="30" t="s">
        <v>760</v>
      </c>
    </row>
    <row r="171" spans="1:5">
      <c r="A171" s="26" t="s">
        <v>692</v>
      </c>
      <c r="B171" s="5" t="s">
        <v>311</v>
      </c>
      <c r="C171" s="5" t="s">
        <v>86</v>
      </c>
      <c r="D171" s="5" t="s">
        <v>179</v>
      </c>
      <c r="E171" s="30" t="s">
        <v>761</v>
      </c>
    </row>
    <row r="172" spans="1:5">
      <c r="A172" s="26" t="s">
        <v>637</v>
      </c>
      <c r="B172" s="5" t="s">
        <v>230</v>
      </c>
      <c r="C172" s="5" t="s">
        <v>88</v>
      </c>
      <c r="D172" s="5" t="s">
        <v>20</v>
      </c>
      <c r="E172" s="30" t="s">
        <v>762</v>
      </c>
    </row>
    <row r="173" spans="1:5">
      <c r="A173" s="26" t="s">
        <v>505</v>
      </c>
      <c r="B173" s="5" t="s">
        <v>311</v>
      </c>
      <c r="C173" s="5" t="s">
        <v>81</v>
      </c>
      <c r="D173" s="5" t="s">
        <v>360</v>
      </c>
      <c r="E173" s="30" t="s">
        <v>763</v>
      </c>
    </row>
    <row r="174" spans="1:5">
      <c r="A174" s="26" t="s">
        <v>642</v>
      </c>
      <c r="B174" s="5" t="s">
        <v>717</v>
      </c>
      <c r="C174" s="5" t="s">
        <v>88</v>
      </c>
      <c r="D174" s="5" t="s">
        <v>764</v>
      </c>
      <c r="E174" s="30" t="s">
        <v>765</v>
      </c>
    </row>
    <row r="175" spans="1:5">
      <c r="A175" s="26" t="s">
        <v>615</v>
      </c>
      <c r="B175" s="5" t="s">
        <v>311</v>
      </c>
      <c r="C175" s="5" t="s">
        <v>214</v>
      </c>
      <c r="D175" s="5" t="s">
        <v>108</v>
      </c>
      <c r="E175" s="30" t="s">
        <v>766</v>
      </c>
    </row>
    <row r="176" spans="1:5">
      <c r="A176" s="26" t="s">
        <v>538</v>
      </c>
      <c r="B176" s="5" t="s">
        <v>311</v>
      </c>
      <c r="C176" s="5" t="s">
        <v>432</v>
      </c>
      <c r="D176" s="5" t="s">
        <v>348</v>
      </c>
      <c r="E176" s="30" t="s">
        <v>767</v>
      </c>
    </row>
  </sheetData>
  <mergeCells count="22">
    <mergeCell ref="A76:L76"/>
    <mergeCell ref="A84:L84"/>
    <mergeCell ref="A16:L16"/>
    <mergeCell ref="A23:L23"/>
    <mergeCell ref="A32:L32"/>
    <mergeCell ref="A44:L44"/>
    <mergeCell ref="A58:L58"/>
    <mergeCell ref="A67:L67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7" width="6.85546875" style="5" customWidth="1"/>
    <col min="8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12.5703125" style="4" bestFit="1" customWidth="1"/>
    <col min="14" max="16384" width="9.140625" style="3"/>
  </cols>
  <sheetData>
    <row r="1" spans="1:13" s="2" customFormat="1" ht="29.1" customHeight="1">
      <c r="A1" s="45" t="s">
        <v>1107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4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109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453</v>
      </c>
      <c r="B6" s="10" t="s">
        <v>454</v>
      </c>
      <c r="C6" s="10" t="s">
        <v>455</v>
      </c>
      <c r="D6" s="10" t="str">
        <f>"0,6943"</f>
        <v>0,6943</v>
      </c>
      <c r="E6" s="9" t="s">
        <v>28</v>
      </c>
      <c r="F6" s="9" t="s">
        <v>19</v>
      </c>
      <c r="G6" s="10" t="s">
        <v>456</v>
      </c>
      <c r="H6" s="10" t="s">
        <v>457</v>
      </c>
      <c r="I6" s="11" t="s">
        <v>107</v>
      </c>
      <c r="J6" s="11"/>
      <c r="K6" s="9" t="str">
        <f>"115,0"</f>
        <v>115,0</v>
      </c>
      <c r="L6" s="10" t="str">
        <f>"79,8445"</f>
        <v>79,8445</v>
      </c>
      <c r="M6" s="9" t="s">
        <v>354</v>
      </c>
    </row>
    <row r="7" spans="1:13" s="5" customFormat="1">
      <c r="A7" s="4"/>
      <c r="E7" s="4"/>
      <c r="F7" s="4"/>
      <c r="K7" s="4"/>
      <c r="M7" s="4"/>
    </row>
    <row r="8" spans="1:13" ht="15">
      <c r="E8" s="21" t="s">
        <v>69</v>
      </c>
    </row>
    <row r="9" spans="1:13" ht="15">
      <c r="E9" s="21" t="s">
        <v>70</v>
      </c>
    </row>
    <row r="10" spans="1:13" ht="15">
      <c r="E10" s="21" t="s">
        <v>71</v>
      </c>
    </row>
    <row r="11" spans="1:13">
      <c r="E11" s="4" t="s">
        <v>72</v>
      </c>
    </row>
    <row r="12" spans="1:13">
      <c r="E12" s="4" t="s">
        <v>73</v>
      </c>
    </row>
    <row r="13" spans="1:13">
      <c r="E13" s="4" t="s">
        <v>74</v>
      </c>
    </row>
    <row r="16" spans="1:13" ht="18">
      <c r="A16" s="22" t="s">
        <v>75</v>
      </c>
      <c r="B16" s="23"/>
    </row>
    <row r="17" spans="1:5" ht="15">
      <c r="A17" s="24" t="s">
        <v>76</v>
      </c>
      <c r="B17" s="25"/>
    </row>
    <row r="18" spans="1:5" ht="14.25">
      <c r="A18" s="27"/>
      <c r="B18" s="28" t="s">
        <v>77</v>
      </c>
    </row>
    <row r="19" spans="1:5" ht="15">
      <c r="A19" s="29" t="s">
        <v>0</v>
      </c>
      <c r="B19" s="29" t="s">
        <v>78</v>
      </c>
      <c r="C19" s="29" t="s">
        <v>79</v>
      </c>
      <c r="D19" s="29" t="s">
        <v>80</v>
      </c>
      <c r="E19" s="29" t="s">
        <v>11</v>
      </c>
    </row>
    <row r="20" spans="1:5">
      <c r="A20" s="26" t="s">
        <v>349</v>
      </c>
      <c r="B20" s="5" t="s">
        <v>77</v>
      </c>
      <c r="C20" s="5" t="s">
        <v>221</v>
      </c>
      <c r="D20" s="5" t="s">
        <v>360</v>
      </c>
      <c r="E20" s="30" t="s">
        <v>458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3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6" width="17.28515625" style="4" bestFit="1" customWidth="1"/>
    <col min="7" max="7" width="6.85546875" style="5" customWidth="1"/>
    <col min="8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2.5703125" style="4" bestFit="1" customWidth="1"/>
    <col min="14" max="16384" width="9.140625" style="3"/>
  </cols>
  <sheetData>
    <row r="1" spans="1:13" s="2" customFormat="1" ht="29.1" customHeight="1">
      <c r="A1" s="45" t="s">
        <v>1108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4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318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320</v>
      </c>
      <c r="B6" s="10" t="s">
        <v>321</v>
      </c>
      <c r="C6" s="10" t="s">
        <v>322</v>
      </c>
      <c r="D6" s="10" t="str">
        <f>"1,0621"</f>
        <v>1,0621</v>
      </c>
      <c r="E6" s="9" t="s">
        <v>28</v>
      </c>
      <c r="F6" s="9" t="s">
        <v>19</v>
      </c>
      <c r="G6" s="10" t="s">
        <v>291</v>
      </c>
      <c r="H6" s="10" t="s">
        <v>292</v>
      </c>
      <c r="I6" s="10" t="s">
        <v>261</v>
      </c>
      <c r="J6" s="11"/>
      <c r="K6" s="9" t="str">
        <f>"130,0"</f>
        <v>130,0</v>
      </c>
      <c r="L6" s="10" t="str">
        <f>"138,0730"</f>
        <v>138,0730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323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9" t="s">
        <v>325</v>
      </c>
      <c r="B9" s="10" t="s">
        <v>326</v>
      </c>
      <c r="C9" s="10" t="s">
        <v>327</v>
      </c>
      <c r="D9" s="10" t="str">
        <f>"0,9249"</f>
        <v>0,9249</v>
      </c>
      <c r="E9" s="9" t="s">
        <v>28</v>
      </c>
      <c r="F9" s="9" t="s">
        <v>19</v>
      </c>
      <c r="G9" s="10" t="s">
        <v>328</v>
      </c>
      <c r="H9" s="11" t="s">
        <v>123</v>
      </c>
      <c r="I9" s="11" t="s">
        <v>123</v>
      </c>
      <c r="J9" s="11"/>
      <c r="K9" s="9" t="str">
        <f>"80,0"</f>
        <v>80,0</v>
      </c>
      <c r="L9" s="10" t="str">
        <f>"73,9920"</f>
        <v>73,9920</v>
      </c>
      <c r="M9" s="9"/>
    </row>
    <row r="11" spans="1:13" ht="15">
      <c r="A11" s="56" t="s">
        <v>329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>
      <c r="A12" s="15" t="s">
        <v>331</v>
      </c>
      <c r="B12" s="12" t="s">
        <v>332</v>
      </c>
      <c r="C12" s="12" t="s">
        <v>333</v>
      </c>
      <c r="D12" s="12" t="str">
        <f>"0,8763"</f>
        <v>0,8763</v>
      </c>
      <c r="E12" s="15" t="s">
        <v>28</v>
      </c>
      <c r="F12" s="15" t="s">
        <v>19</v>
      </c>
      <c r="G12" s="12" t="s">
        <v>334</v>
      </c>
      <c r="H12" s="16" t="s">
        <v>335</v>
      </c>
      <c r="I12" s="12" t="s">
        <v>336</v>
      </c>
      <c r="J12" s="16"/>
      <c r="K12" s="15" t="str">
        <f>"90,0"</f>
        <v>90,0</v>
      </c>
      <c r="L12" s="12" t="str">
        <f>"78,8670"</f>
        <v>78,8670</v>
      </c>
      <c r="M12" s="15"/>
    </row>
    <row r="13" spans="1:13">
      <c r="A13" s="19" t="s">
        <v>338</v>
      </c>
      <c r="B13" s="14" t="s">
        <v>339</v>
      </c>
      <c r="C13" s="14" t="s">
        <v>340</v>
      </c>
      <c r="D13" s="14" t="str">
        <f>"0,8640"</f>
        <v>0,8640</v>
      </c>
      <c r="E13" s="19" t="s">
        <v>28</v>
      </c>
      <c r="F13" s="19" t="s">
        <v>19</v>
      </c>
      <c r="G13" s="14" t="s">
        <v>341</v>
      </c>
      <c r="H13" s="20" t="s">
        <v>123</v>
      </c>
      <c r="I13" s="20" t="s">
        <v>123</v>
      </c>
      <c r="J13" s="20"/>
      <c r="K13" s="19" t="str">
        <f>"95,0"</f>
        <v>95,0</v>
      </c>
      <c r="L13" s="14" t="str">
        <f>"82,0800"</f>
        <v>82,0800</v>
      </c>
      <c r="M13" s="19"/>
    </row>
    <row r="15" spans="1:13" ht="15">
      <c r="A15" s="56" t="s">
        <v>342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>
      <c r="A16" s="9" t="s">
        <v>344</v>
      </c>
      <c r="B16" s="10" t="s">
        <v>345</v>
      </c>
      <c r="C16" s="10" t="s">
        <v>346</v>
      </c>
      <c r="D16" s="10" t="str">
        <f>"0,7512"</f>
        <v>0,7512</v>
      </c>
      <c r="E16" s="9" t="s">
        <v>347</v>
      </c>
      <c r="F16" s="9" t="s">
        <v>38</v>
      </c>
      <c r="G16" s="10" t="s">
        <v>348</v>
      </c>
      <c r="H16" s="11" t="s">
        <v>108</v>
      </c>
      <c r="I16" s="11" t="s">
        <v>108</v>
      </c>
      <c r="J16" s="11"/>
      <c r="K16" s="9" t="str">
        <f>"105,0"</f>
        <v>105,0</v>
      </c>
      <c r="L16" s="10" t="str">
        <f>"84,3184"</f>
        <v>84,3184</v>
      </c>
      <c r="M16" s="9"/>
    </row>
    <row r="18" spans="1:13" ht="15">
      <c r="A18" s="56" t="s">
        <v>109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>
      <c r="A19" s="9" t="s">
        <v>350</v>
      </c>
      <c r="B19" s="10" t="s">
        <v>351</v>
      </c>
      <c r="C19" s="10" t="s">
        <v>352</v>
      </c>
      <c r="D19" s="10" t="str">
        <f>"0,6904"</f>
        <v>0,6904</v>
      </c>
      <c r="E19" s="9" t="s">
        <v>28</v>
      </c>
      <c r="F19" s="9" t="s">
        <v>19</v>
      </c>
      <c r="G19" s="11" t="s">
        <v>353</v>
      </c>
      <c r="H19" s="11" t="s">
        <v>353</v>
      </c>
      <c r="I19" s="11" t="s">
        <v>353</v>
      </c>
      <c r="J19" s="11"/>
      <c r="K19" s="9" t="str">
        <f>"0.00"</f>
        <v>0.00</v>
      </c>
      <c r="L19" s="10" t="str">
        <f>"0,0000"</f>
        <v>0,0000</v>
      </c>
      <c r="M19" s="9" t="s">
        <v>354</v>
      </c>
    </row>
    <row r="21" spans="1:13" ht="15">
      <c r="A21" s="56" t="s">
        <v>323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3">
      <c r="A22" s="9" t="s">
        <v>356</v>
      </c>
      <c r="B22" s="10" t="s">
        <v>357</v>
      </c>
      <c r="C22" s="10" t="s">
        <v>358</v>
      </c>
      <c r="D22" s="10" t="str">
        <f>"0,8943"</f>
        <v>0,8943</v>
      </c>
      <c r="E22" s="9" t="s">
        <v>28</v>
      </c>
      <c r="F22" s="9" t="s">
        <v>359</v>
      </c>
      <c r="G22" s="11" t="s">
        <v>360</v>
      </c>
      <c r="H22" s="10" t="s">
        <v>291</v>
      </c>
      <c r="I22" s="11" t="s">
        <v>108</v>
      </c>
      <c r="J22" s="11"/>
      <c r="K22" s="9" t="str">
        <f>"120,0"</f>
        <v>120,0</v>
      </c>
      <c r="L22" s="10" t="str">
        <f>"107,3160"</f>
        <v>107,3160</v>
      </c>
      <c r="M22" s="9"/>
    </row>
    <row r="24" spans="1:13" ht="15">
      <c r="A24" s="56" t="s">
        <v>13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3">
      <c r="A25" s="9" t="s">
        <v>362</v>
      </c>
      <c r="B25" s="10" t="s">
        <v>363</v>
      </c>
      <c r="C25" s="10" t="s">
        <v>364</v>
      </c>
      <c r="D25" s="10" t="str">
        <f>"0,7347"</f>
        <v>0,7347</v>
      </c>
      <c r="E25" s="9" t="s">
        <v>28</v>
      </c>
      <c r="F25" s="9" t="s">
        <v>365</v>
      </c>
      <c r="G25" s="10" t="s">
        <v>263</v>
      </c>
      <c r="H25" s="10" t="s">
        <v>40</v>
      </c>
      <c r="I25" s="11" t="s">
        <v>366</v>
      </c>
      <c r="J25" s="11"/>
      <c r="K25" s="9" t="str">
        <f>"210,0"</f>
        <v>210,0</v>
      </c>
      <c r="L25" s="10" t="str">
        <f>"154,2870"</f>
        <v>154,2870</v>
      </c>
      <c r="M25" s="9"/>
    </row>
    <row r="27" spans="1:13" ht="15">
      <c r="A27" s="56" t="s">
        <v>109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3">
      <c r="A28" s="15" t="s">
        <v>368</v>
      </c>
      <c r="B28" s="12" t="s">
        <v>369</v>
      </c>
      <c r="C28" s="12" t="s">
        <v>370</v>
      </c>
      <c r="D28" s="12" t="str">
        <f>"0,6295"</f>
        <v>0,6295</v>
      </c>
      <c r="E28" s="15" t="s">
        <v>28</v>
      </c>
      <c r="F28" s="15" t="s">
        <v>371</v>
      </c>
      <c r="G28" s="12" t="s">
        <v>194</v>
      </c>
      <c r="H28" s="12" t="s">
        <v>115</v>
      </c>
      <c r="I28" s="16" t="s">
        <v>21</v>
      </c>
      <c r="J28" s="16"/>
      <c r="K28" s="15" t="str">
        <f>"150,0"</f>
        <v>150,0</v>
      </c>
      <c r="L28" s="12" t="str">
        <f>"94,4250"</f>
        <v>94,4250</v>
      </c>
      <c r="M28" s="15"/>
    </row>
    <row r="29" spans="1:13">
      <c r="A29" s="17" t="s">
        <v>373</v>
      </c>
      <c r="B29" s="13" t="s">
        <v>374</v>
      </c>
      <c r="C29" s="13" t="s">
        <v>375</v>
      </c>
      <c r="D29" s="13" t="str">
        <f>"0,6230"</f>
        <v>0,6230</v>
      </c>
      <c r="E29" s="17" t="s">
        <v>28</v>
      </c>
      <c r="F29" s="17" t="s">
        <v>376</v>
      </c>
      <c r="G29" s="13" t="s">
        <v>260</v>
      </c>
      <c r="H29" s="13" t="s">
        <v>40</v>
      </c>
      <c r="I29" s="13" t="s">
        <v>160</v>
      </c>
      <c r="J29" s="18"/>
      <c r="K29" s="17" t="str">
        <f>"220,0"</f>
        <v>220,0</v>
      </c>
      <c r="L29" s="13" t="str">
        <f>"137,0600"</f>
        <v>137,0600</v>
      </c>
      <c r="M29" s="17"/>
    </row>
    <row r="30" spans="1:13">
      <c r="A30" s="17" t="s">
        <v>378</v>
      </c>
      <c r="B30" s="13" t="s">
        <v>379</v>
      </c>
      <c r="C30" s="13" t="s">
        <v>380</v>
      </c>
      <c r="D30" s="13" t="str">
        <f>"0,6399"</f>
        <v>0,6399</v>
      </c>
      <c r="E30" s="17" t="s">
        <v>28</v>
      </c>
      <c r="F30" s="17" t="s">
        <v>19</v>
      </c>
      <c r="G30" s="18" t="s">
        <v>193</v>
      </c>
      <c r="H30" s="13" t="s">
        <v>173</v>
      </c>
      <c r="I30" s="13" t="s">
        <v>271</v>
      </c>
      <c r="J30" s="18"/>
      <c r="K30" s="17" t="str">
        <f>"215,0"</f>
        <v>215,0</v>
      </c>
      <c r="L30" s="13" t="str">
        <f>"137,5785"</f>
        <v>137,5785</v>
      </c>
      <c r="M30" s="17"/>
    </row>
    <row r="31" spans="1:13">
      <c r="A31" s="19" t="s">
        <v>373</v>
      </c>
      <c r="B31" s="14" t="s">
        <v>381</v>
      </c>
      <c r="C31" s="14" t="s">
        <v>375</v>
      </c>
      <c r="D31" s="14" t="str">
        <f>"0,6230"</f>
        <v>0,6230</v>
      </c>
      <c r="E31" s="19" t="s">
        <v>28</v>
      </c>
      <c r="F31" s="19" t="s">
        <v>376</v>
      </c>
      <c r="G31" s="14" t="s">
        <v>260</v>
      </c>
      <c r="H31" s="14" t="s">
        <v>40</v>
      </c>
      <c r="I31" s="14" t="s">
        <v>160</v>
      </c>
      <c r="J31" s="20"/>
      <c r="K31" s="19" t="str">
        <f>"220,0"</f>
        <v>220,0</v>
      </c>
      <c r="L31" s="14" t="str">
        <f>"137,0600"</f>
        <v>137,0600</v>
      </c>
      <c r="M31" s="19"/>
    </row>
    <row r="33" spans="1:13" ht="15">
      <c r="A33" s="56" t="s">
        <v>132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3">
      <c r="A34" s="9" t="s">
        <v>383</v>
      </c>
      <c r="B34" s="10" t="s">
        <v>384</v>
      </c>
      <c r="C34" s="10" t="s">
        <v>385</v>
      </c>
      <c r="D34" s="10" t="str">
        <f>"0,5897"</f>
        <v>0,5897</v>
      </c>
      <c r="E34" s="9" t="s">
        <v>28</v>
      </c>
      <c r="F34" s="9" t="s">
        <v>386</v>
      </c>
      <c r="G34" s="10" t="s">
        <v>31</v>
      </c>
      <c r="H34" s="10" t="s">
        <v>32</v>
      </c>
      <c r="I34" s="11" t="s">
        <v>98</v>
      </c>
      <c r="J34" s="11"/>
      <c r="K34" s="9" t="str">
        <f>"260,0"</f>
        <v>260,0</v>
      </c>
      <c r="L34" s="10" t="str">
        <f>"153,3220"</f>
        <v>153,3220</v>
      </c>
      <c r="M34" s="9"/>
    </row>
    <row r="36" spans="1:13" ht="15">
      <c r="A36" s="56" t="s">
        <v>23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3">
      <c r="A37" s="15" t="s">
        <v>388</v>
      </c>
      <c r="B37" s="12" t="s">
        <v>389</v>
      </c>
      <c r="C37" s="12" t="s">
        <v>390</v>
      </c>
      <c r="D37" s="12" t="str">
        <f>"0,5747"</f>
        <v>0,5747</v>
      </c>
      <c r="E37" s="15" t="s">
        <v>28</v>
      </c>
      <c r="F37" s="15" t="s">
        <v>391</v>
      </c>
      <c r="G37" s="12" t="s">
        <v>152</v>
      </c>
      <c r="H37" s="16" t="s">
        <v>173</v>
      </c>
      <c r="I37" s="16" t="s">
        <v>173</v>
      </c>
      <c r="J37" s="16"/>
      <c r="K37" s="15" t="str">
        <f>"175,0"</f>
        <v>175,0</v>
      </c>
      <c r="L37" s="12" t="str">
        <f>"100,5725"</f>
        <v>100,5725</v>
      </c>
      <c r="M37" s="15"/>
    </row>
    <row r="38" spans="1:13">
      <c r="A38" s="17" t="s">
        <v>393</v>
      </c>
      <c r="B38" s="13" t="s">
        <v>394</v>
      </c>
      <c r="C38" s="13" t="s">
        <v>242</v>
      </c>
      <c r="D38" s="13" t="str">
        <f>"0,5540"</f>
        <v>0,5540</v>
      </c>
      <c r="E38" s="17" t="s">
        <v>347</v>
      </c>
      <c r="F38" s="17" t="s">
        <v>38</v>
      </c>
      <c r="G38" s="13" t="s">
        <v>193</v>
      </c>
      <c r="H38" s="18" t="s">
        <v>395</v>
      </c>
      <c r="I38" s="18" t="s">
        <v>395</v>
      </c>
      <c r="J38" s="18"/>
      <c r="K38" s="17" t="str">
        <f>"185,0"</f>
        <v>185,0</v>
      </c>
      <c r="L38" s="13" t="str">
        <f>"102,4900"</f>
        <v>102,4900</v>
      </c>
      <c r="M38" s="17"/>
    </row>
    <row r="39" spans="1:13">
      <c r="A39" s="19" t="s">
        <v>397</v>
      </c>
      <c r="B39" s="14" t="s">
        <v>398</v>
      </c>
      <c r="C39" s="14" t="s">
        <v>399</v>
      </c>
      <c r="D39" s="14" t="str">
        <f>"0,5639"</f>
        <v>0,5639</v>
      </c>
      <c r="E39" s="19" t="s">
        <v>130</v>
      </c>
      <c r="F39" s="19" t="s">
        <v>66</v>
      </c>
      <c r="G39" s="14" t="s">
        <v>208</v>
      </c>
      <c r="H39" s="14" t="s">
        <v>21</v>
      </c>
      <c r="I39" s="14" t="s">
        <v>179</v>
      </c>
      <c r="J39" s="20"/>
      <c r="K39" s="19" t="str">
        <f>"170,0"</f>
        <v>170,0</v>
      </c>
      <c r="L39" s="14" t="str">
        <f>"199,6826"</f>
        <v>199,6826</v>
      </c>
      <c r="M39" s="19"/>
    </row>
    <row r="41" spans="1:13" ht="15">
      <c r="A41" s="56" t="s">
        <v>33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3">
      <c r="A42" s="15" t="s">
        <v>401</v>
      </c>
      <c r="B42" s="12" t="s">
        <v>402</v>
      </c>
      <c r="C42" s="12" t="s">
        <v>403</v>
      </c>
      <c r="D42" s="12" t="str">
        <f>"0,5392"</f>
        <v>0,5392</v>
      </c>
      <c r="E42" s="15" t="s">
        <v>28</v>
      </c>
      <c r="F42" s="15" t="s">
        <v>19</v>
      </c>
      <c r="G42" s="12" t="s">
        <v>152</v>
      </c>
      <c r="H42" s="12" t="s">
        <v>145</v>
      </c>
      <c r="I42" s="16" t="s">
        <v>215</v>
      </c>
      <c r="J42" s="16"/>
      <c r="K42" s="15" t="str">
        <f>"185,0"</f>
        <v>185,0</v>
      </c>
      <c r="L42" s="12" t="str">
        <f>"99,7520"</f>
        <v>99,7520</v>
      </c>
      <c r="M42" s="15"/>
    </row>
    <row r="43" spans="1:13">
      <c r="A43" s="17" t="s">
        <v>405</v>
      </c>
      <c r="B43" s="13" t="s">
        <v>406</v>
      </c>
      <c r="C43" s="13" t="s">
        <v>407</v>
      </c>
      <c r="D43" s="13" t="str">
        <f>"0,5424"</f>
        <v>0,5424</v>
      </c>
      <c r="E43" s="17" t="s">
        <v>28</v>
      </c>
      <c r="F43" s="17" t="s">
        <v>19</v>
      </c>
      <c r="G43" s="13" t="s">
        <v>260</v>
      </c>
      <c r="H43" s="13" t="s">
        <v>271</v>
      </c>
      <c r="I43" s="18" t="s">
        <v>408</v>
      </c>
      <c r="J43" s="18"/>
      <c r="K43" s="17" t="str">
        <f>"215,0"</f>
        <v>215,0</v>
      </c>
      <c r="L43" s="13" t="str">
        <f>"116,6160"</f>
        <v>116,6160</v>
      </c>
      <c r="M43" s="17"/>
    </row>
    <row r="44" spans="1:13">
      <c r="A44" s="17" t="s">
        <v>409</v>
      </c>
      <c r="B44" s="13" t="s">
        <v>406</v>
      </c>
      <c r="C44" s="13" t="s">
        <v>407</v>
      </c>
      <c r="D44" s="13" t="str">
        <f>"0,5424"</f>
        <v>0,5424</v>
      </c>
      <c r="E44" s="17" t="s">
        <v>28</v>
      </c>
      <c r="F44" s="17" t="s">
        <v>19</v>
      </c>
      <c r="G44" s="18" t="s">
        <v>173</v>
      </c>
      <c r="H44" s="18"/>
      <c r="I44" s="18"/>
      <c r="J44" s="18"/>
      <c r="K44" s="17" t="str">
        <f>"0.00"</f>
        <v>0.00</v>
      </c>
      <c r="L44" s="13" t="str">
        <f>"0,0000"</f>
        <v>0,0000</v>
      </c>
      <c r="M44" s="17"/>
    </row>
    <row r="45" spans="1:13">
      <c r="A45" s="19" t="s">
        <v>411</v>
      </c>
      <c r="B45" s="14" t="s">
        <v>412</v>
      </c>
      <c r="C45" s="14" t="s">
        <v>413</v>
      </c>
      <c r="D45" s="14" t="str">
        <f>"0,5461"</f>
        <v>0,5461</v>
      </c>
      <c r="E45" s="19" t="s">
        <v>28</v>
      </c>
      <c r="F45" s="19" t="s">
        <v>414</v>
      </c>
      <c r="G45" s="14" t="s">
        <v>173</v>
      </c>
      <c r="H45" s="14" t="s">
        <v>200</v>
      </c>
      <c r="I45" s="14" t="s">
        <v>41</v>
      </c>
      <c r="J45" s="20"/>
      <c r="K45" s="19" t="str">
        <f>"230,0"</f>
        <v>230,0</v>
      </c>
      <c r="L45" s="14" t="str">
        <f>"125,6030"</f>
        <v>125,6030</v>
      </c>
      <c r="M45" s="19"/>
    </row>
    <row r="47" spans="1:13" ht="15">
      <c r="A47" s="56" t="s">
        <v>42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3">
      <c r="A48" s="9" t="s">
        <v>416</v>
      </c>
      <c r="B48" s="10" t="s">
        <v>417</v>
      </c>
      <c r="C48" s="10" t="s">
        <v>418</v>
      </c>
      <c r="D48" s="10" t="str">
        <f>"0,5224"</f>
        <v>0,5224</v>
      </c>
      <c r="E48" s="9" t="s">
        <v>130</v>
      </c>
      <c r="F48" s="9" t="s">
        <v>66</v>
      </c>
      <c r="G48" s="10" t="s">
        <v>419</v>
      </c>
      <c r="H48" s="10" t="s">
        <v>420</v>
      </c>
      <c r="I48" s="10" t="s">
        <v>421</v>
      </c>
      <c r="J48" s="11"/>
      <c r="K48" s="9" t="str">
        <f>"325,0"</f>
        <v>325,0</v>
      </c>
      <c r="L48" s="10" t="str">
        <f>"169,7800"</f>
        <v>169,7800</v>
      </c>
      <c r="M48" s="9"/>
    </row>
    <row r="50" spans="1:5" ht="15">
      <c r="E50" s="21" t="s">
        <v>69</v>
      </c>
    </row>
    <row r="51" spans="1:5" ht="15">
      <c r="E51" s="21" t="s">
        <v>70</v>
      </c>
    </row>
    <row r="52" spans="1:5" ht="15">
      <c r="E52" s="21" t="s">
        <v>71</v>
      </c>
    </row>
    <row r="53" spans="1:5">
      <c r="E53" s="4" t="s">
        <v>72</v>
      </c>
    </row>
    <row r="54" spans="1:5">
      <c r="E54" s="4" t="s">
        <v>73</v>
      </c>
    </row>
    <row r="55" spans="1:5">
      <c r="E55" s="4" t="s">
        <v>74</v>
      </c>
    </row>
    <row r="58" spans="1:5" ht="18">
      <c r="A58" s="22" t="s">
        <v>75</v>
      </c>
      <c r="B58" s="23"/>
    </row>
    <row r="59" spans="1:5" ht="15">
      <c r="A59" s="24" t="s">
        <v>76</v>
      </c>
      <c r="B59" s="25"/>
    </row>
    <row r="60" spans="1:5" ht="14.25">
      <c r="A60" s="27"/>
      <c r="B60" s="28" t="s">
        <v>84</v>
      </c>
    </row>
    <row r="61" spans="1:5" ht="15">
      <c r="A61" s="29" t="s">
        <v>0</v>
      </c>
      <c r="B61" s="29" t="s">
        <v>78</v>
      </c>
      <c r="C61" s="29" t="s">
        <v>79</v>
      </c>
      <c r="D61" s="29" t="s">
        <v>80</v>
      </c>
      <c r="E61" s="29" t="s">
        <v>11</v>
      </c>
    </row>
    <row r="62" spans="1:5">
      <c r="A62" s="26" t="s">
        <v>330</v>
      </c>
      <c r="B62" s="5" t="s">
        <v>85</v>
      </c>
      <c r="C62" s="5" t="s">
        <v>422</v>
      </c>
      <c r="D62" s="5" t="s">
        <v>423</v>
      </c>
      <c r="E62" s="30" t="s">
        <v>424</v>
      </c>
    </row>
    <row r="64" spans="1:5" ht="14.25">
      <c r="A64" s="27"/>
      <c r="B64" s="28" t="s">
        <v>77</v>
      </c>
    </row>
    <row r="65" spans="1:5" ht="15">
      <c r="A65" s="29" t="s">
        <v>0</v>
      </c>
      <c r="B65" s="29" t="s">
        <v>78</v>
      </c>
      <c r="C65" s="29" t="s">
        <v>79</v>
      </c>
      <c r="D65" s="29" t="s">
        <v>80</v>
      </c>
      <c r="E65" s="29" t="s">
        <v>11</v>
      </c>
    </row>
    <row r="66" spans="1:5">
      <c r="A66" s="26" t="s">
        <v>319</v>
      </c>
      <c r="B66" s="5" t="s">
        <v>77</v>
      </c>
      <c r="C66" s="5" t="s">
        <v>425</v>
      </c>
      <c r="D66" s="5" t="s">
        <v>131</v>
      </c>
      <c r="E66" s="30" t="s">
        <v>426</v>
      </c>
    </row>
    <row r="67" spans="1:5">
      <c r="A67" s="26" t="s">
        <v>337</v>
      </c>
      <c r="B67" s="5" t="s">
        <v>77</v>
      </c>
      <c r="C67" s="5" t="s">
        <v>422</v>
      </c>
      <c r="D67" s="5" t="s">
        <v>427</v>
      </c>
      <c r="E67" s="30" t="s">
        <v>428</v>
      </c>
    </row>
    <row r="68" spans="1:5">
      <c r="A68" s="26" t="s">
        <v>324</v>
      </c>
      <c r="B68" s="5" t="s">
        <v>77</v>
      </c>
      <c r="C68" s="5" t="s">
        <v>429</v>
      </c>
      <c r="D68" s="5" t="s">
        <v>430</v>
      </c>
      <c r="E68" s="30" t="s">
        <v>431</v>
      </c>
    </row>
    <row r="70" spans="1:5" ht="14.25">
      <c r="A70" s="27"/>
      <c r="B70" s="28" t="s">
        <v>96</v>
      </c>
    </row>
    <row r="71" spans="1:5" ht="15">
      <c r="A71" s="29" t="s">
        <v>0</v>
      </c>
      <c r="B71" s="29" t="s">
        <v>78</v>
      </c>
      <c r="C71" s="29" t="s">
        <v>79</v>
      </c>
      <c r="D71" s="29" t="s">
        <v>80</v>
      </c>
      <c r="E71" s="29" t="s">
        <v>11</v>
      </c>
    </row>
    <row r="72" spans="1:5">
      <c r="A72" s="26" t="s">
        <v>343</v>
      </c>
      <c r="B72" s="5" t="s">
        <v>230</v>
      </c>
      <c r="C72" s="5" t="s">
        <v>432</v>
      </c>
      <c r="D72" s="5" t="s">
        <v>348</v>
      </c>
      <c r="E72" s="30" t="s">
        <v>433</v>
      </c>
    </row>
    <row r="75" spans="1:5" ht="15">
      <c r="A75" s="24" t="s">
        <v>83</v>
      </c>
      <c r="B75" s="25"/>
    </row>
    <row r="76" spans="1:5" ht="14.25">
      <c r="A76" s="27"/>
      <c r="B76" s="28" t="s">
        <v>434</v>
      </c>
    </row>
    <row r="77" spans="1:5" ht="15">
      <c r="A77" s="29" t="s">
        <v>0</v>
      </c>
      <c r="B77" s="29" t="s">
        <v>78</v>
      </c>
      <c r="C77" s="29" t="s">
        <v>79</v>
      </c>
      <c r="D77" s="29" t="s">
        <v>80</v>
      </c>
      <c r="E77" s="29" t="s">
        <v>11</v>
      </c>
    </row>
    <row r="78" spans="1:5">
      <c r="A78" s="26" t="s">
        <v>355</v>
      </c>
      <c r="B78" s="5" t="s">
        <v>435</v>
      </c>
      <c r="C78" s="5" t="s">
        <v>429</v>
      </c>
      <c r="D78" s="5" t="s">
        <v>107</v>
      </c>
      <c r="E78" s="30" t="s">
        <v>436</v>
      </c>
    </row>
    <row r="79" spans="1:5">
      <c r="A79" s="26" t="s">
        <v>387</v>
      </c>
      <c r="B79" s="5" t="s">
        <v>437</v>
      </c>
      <c r="C79" s="5" t="s">
        <v>88</v>
      </c>
      <c r="D79" s="5" t="s">
        <v>192</v>
      </c>
      <c r="E79" s="30" t="s">
        <v>438</v>
      </c>
    </row>
    <row r="80" spans="1:5">
      <c r="A80" s="26" t="s">
        <v>400</v>
      </c>
      <c r="B80" s="5" t="s">
        <v>435</v>
      </c>
      <c r="C80" s="5" t="s">
        <v>93</v>
      </c>
      <c r="D80" s="5" t="s">
        <v>193</v>
      </c>
      <c r="E80" s="30" t="s">
        <v>439</v>
      </c>
    </row>
    <row r="81" spans="1:5">
      <c r="A81" s="26" t="s">
        <v>367</v>
      </c>
      <c r="B81" s="5" t="s">
        <v>437</v>
      </c>
      <c r="C81" s="5" t="s">
        <v>221</v>
      </c>
      <c r="D81" s="5" t="s">
        <v>208</v>
      </c>
      <c r="E81" s="30" t="s">
        <v>440</v>
      </c>
    </row>
    <row r="83" spans="1:5" ht="14.25">
      <c r="A83" s="27"/>
      <c r="B83" s="28" t="s">
        <v>84</v>
      </c>
    </row>
    <row r="84" spans="1:5" ht="15">
      <c r="A84" s="29" t="s">
        <v>0</v>
      </c>
      <c r="B84" s="29" t="s">
        <v>78</v>
      </c>
      <c r="C84" s="29" t="s">
        <v>79</v>
      </c>
      <c r="D84" s="29" t="s">
        <v>80</v>
      </c>
      <c r="E84" s="29" t="s">
        <v>11</v>
      </c>
    </row>
    <row r="85" spans="1:5">
      <c r="A85" s="26" t="s">
        <v>392</v>
      </c>
      <c r="B85" s="5" t="s">
        <v>85</v>
      </c>
      <c r="C85" s="5" t="s">
        <v>88</v>
      </c>
      <c r="D85" s="5" t="s">
        <v>193</v>
      </c>
      <c r="E85" s="30" t="s">
        <v>441</v>
      </c>
    </row>
    <row r="87" spans="1:5" ht="14.25">
      <c r="A87" s="27"/>
      <c r="B87" s="28" t="s">
        <v>77</v>
      </c>
    </row>
    <row r="88" spans="1:5" ht="15">
      <c r="A88" s="29" t="s">
        <v>0</v>
      </c>
      <c r="B88" s="29" t="s">
        <v>78</v>
      </c>
      <c r="C88" s="29" t="s">
        <v>79</v>
      </c>
      <c r="D88" s="29" t="s">
        <v>80</v>
      </c>
      <c r="E88" s="29" t="s">
        <v>11</v>
      </c>
    </row>
    <row r="89" spans="1:5">
      <c r="A89" s="26" t="s">
        <v>415</v>
      </c>
      <c r="B89" s="5" t="s">
        <v>77</v>
      </c>
      <c r="C89" s="5" t="s">
        <v>86</v>
      </c>
      <c r="D89" s="5" t="s">
        <v>421</v>
      </c>
      <c r="E89" s="30" t="s">
        <v>442</v>
      </c>
    </row>
    <row r="90" spans="1:5">
      <c r="A90" s="26" t="s">
        <v>361</v>
      </c>
      <c r="B90" s="5" t="s">
        <v>77</v>
      </c>
      <c r="C90" s="5" t="s">
        <v>81</v>
      </c>
      <c r="D90" s="5" t="s">
        <v>174</v>
      </c>
      <c r="E90" s="30" t="s">
        <v>443</v>
      </c>
    </row>
    <row r="91" spans="1:5">
      <c r="A91" s="26" t="s">
        <v>382</v>
      </c>
      <c r="B91" s="5" t="s">
        <v>77</v>
      </c>
      <c r="C91" s="5" t="s">
        <v>214</v>
      </c>
      <c r="D91" s="5" t="s">
        <v>89</v>
      </c>
      <c r="E91" s="30" t="s">
        <v>444</v>
      </c>
    </row>
    <row r="92" spans="1:5">
      <c r="A92" s="26" t="s">
        <v>377</v>
      </c>
      <c r="B92" s="5" t="s">
        <v>77</v>
      </c>
      <c r="C92" s="5" t="s">
        <v>221</v>
      </c>
      <c r="D92" s="5" t="s">
        <v>200</v>
      </c>
      <c r="E92" s="30" t="s">
        <v>445</v>
      </c>
    </row>
    <row r="93" spans="1:5">
      <c r="A93" s="26" t="s">
        <v>372</v>
      </c>
      <c r="B93" s="5" t="s">
        <v>77</v>
      </c>
      <c r="C93" s="5" t="s">
        <v>221</v>
      </c>
      <c r="D93" s="5" t="s">
        <v>159</v>
      </c>
      <c r="E93" s="30" t="s">
        <v>446</v>
      </c>
    </row>
    <row r="94" spans="1:5">
      <c r="A94" s="26" t="s">
        <v>404</v>
      </c>
      <c r="B94" s="5" t="s">
        <v>77</v>
      </c>
      <c r="C94" s="5" t="s">
        <v>93</v>
      </c>
      <c r="D94" s="5" t="s">
        <v>200</v>
      </c>
      <c r="E94" s="30" t="s">
        <v>447</v>
      </c>
    </row>
    <row r="96" spans="1:5" ht="14.25">
      <c r="A96" s="27"/>
      <c r="B96" s="28" t="s">
        <v>448</v>
      </c>
    </row>
    <row r="97" spans="1:5" ht="15">
      <c r="A97" s="29" t="s">
        <v>0</v>
      </c>
      <c r="B97" s="29" t="s">
        <v>78</v>
      </c>
      <c r="C97" s="29" t="s">
        <v>79</v>
      </c>
      <c r="D97" s="29" t="s">
        <v>80</v>
      </c>
      <c r="E97" s="29" t="s">
        <v>11</v>
      </c>
    </row>
    <row r="98" spans="1:5">
      <c r="A98" s="26" t="s">
        <v>372</v>
      </c>
      <c r="B98" s="5" t="s">
        <v>449</v>
      </c>
      <c r="C98" s="5" t="s">
        <v>221</v>
      </c>
      <c r="D98" s="5" t="s">
        <v>159</v>
      </c>
      <c r="E98" s="30" t="s">
        <v>446</v>
      </c>
    </row>
    <row r="99" spans="1:5">
      <c r="A99" s="26" t="s">
        <v>410</v>
      </c>
      <c r="B99" s="5" t="s">
        <v>449</v>
      </c>
      <c r="C99" s="5" t="s">
        <v>93</v>
      </c>
      <c r="D99" s="5" t="s">
        <v>94</v>
      </c>
      <c r="E99" s="30" t="s">
        <v>450</v>
      </c>
    </row>
    <row r="101" spans="1:5" ht="14.25">
      <c r="A101" s="27"/>
      <c r="B101" s="28" t="s">
        <v>96</v>
      </c>
    </row>
    <row r="102" spans="1:5" ht="15">
      <c r="A102" s="29" t="s">
        <v>0</v>
      </c>
      <c r="B102" s="29" t="s">
        <v>78</v>
      </c>
      <c r="C102" s="29" t="s">
        <v>79</v>
      </c>
      <c r="D102" s="29" t="s">
        <v>80</v>
      </c>
      <c r="E102" s="29" t="s">
        <v>11</v>
      </c>
    </row>
    <row r="103" spans="1:5">
      <c r="A103" s="26" t="s">
        <v>396</v>
      </c>
      <c r="B103" s="5" t="s">
        <v>451</v>
      </c>
      <c r="C103" s="5" t="s">
        <v>88</v>
      </c>
      <c r="D103" s="5" t="s">
        <v>179</v>
      </c>
      <c r="E103" s="30" t="s">
        <v>452</v>
      </c>
    </row>
  </sheetData>
  <mergeCells count="23">
    <mergeCell ref="A36:L36"/>
    <mergeCell ref="A41:L41"/>
    <mergeCell ref="A47:L47"/>
    <mergeCell ref="A15:L15"/>
    <mergeCell ref="A18:L18"/>
    <mergeCell ref="A21:L21"/>
    <mergeCell ref="A24:L24"/>
    <mergeCell ref="A27:L27"/>
    <mergeCell ref="A33:L33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3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6.85546875" style="5" bestFit="1" customWidth="1"/>
    <col min="10" max="10" width="5" style="5" bestFit="1" customWidth="1"/>
    <col min="11" max="12" width="6.85546875" style="5" bestFit="1" customWidth="1"/>
    <col min="13" max="13" width="6.85546875" style="5" customWidth="1"/>
    <col min="14" max="14" width="5" style="5" bestFit="1" customWidth="1"/>
    <col min="15" max="15" width="6.85546875" style="5" customWidth="1"/>
    <col min="16" max="16" width="6.85546875" style="5" bestFit="1" customWidth="1"/>
    <col min="17" max="17" width="6.85546875" style="5" customWidth="1"/>
    <col min="18" max="18" width="5" style="5" bestFit="1" customWidth="1"/>
    <col min="19" max="19" width="7.85546875" style="4" bestFit="1" customWidth="1"/>
    <col min="20" max="20" width="8.5703125" style="5" bestFit="1" customWidth="1"/>
    <col min="21" max="21" width="15.28515625" style="4" bestFit="1" customWidth="1"/>
    <col min="22" max="16384" width="9.140625" style="3"/>
  </cols>
  <sheetData>
    <row r="1" spans="1:21" s="2" customFormat="1" ht="29.1" customHeight="1">
      <c r="A1" s="45" t="s">
        <v>1109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2</v>
      </c>
      <c r="H3" s="39"/>
      <c r="I3" s="39"/>
      <c r="J3" s="41"/>
      <c r="K3" s="51" t="s">
        <v>3</v>
      </c>
      <c r="L3" s="39"/>
      <c r="M3" s="39"/>
      <c r="N3" s="41"/>
      <c r="O3" s="51" t="s">
        <v>4</v>
      </c>
      <c r="P3" s="39"/>
      <c r="Q3" s="39"/>
      <c r="R3" s="41"/>
      <c r="S3" s="37" t="s">
        <v>9</v>
      </c>
      <c r="T3" s="39" t="s">
        <v>6</v>
      </c>
      <c r="U3" s="41" t="s">
        <v>5</v>
      </c>
    </row>
    <row r="4" spans="1:21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38"/>
      <c r="T4" s="40"/>
      <c r="U4" s="42"/>
    </row>
    <row r="5" spans="1:21" s="5" customFormat="1" ht="15">
      <c r="A5" s="43" t="s">
        <v>109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"/>
    </row>
    <row r="6" spans="1:21" s="5" customFormat="1">
      <c r="A6" s="9" t="s">
        <v>257</v>
      </c>
      <c r="B6" s="10" t="s">
        <v>258</v>
      </c>
      <c r="C6" s="10" t="s">
        <v>259</v>
      </c>
      <c r="D6" s="10" t="str">
        <f>"0,6290"</f>
        <v>0,6290</v>
      </c>
      <c r="E6" s="9" t="s">
        <v>28</v>
      </c>
      <c r="F6" s="9" t="s">
        <v>19</v>
      </c>
      <c r="G6" s="10" t="s">
        <v>260</v>
      </c>
      <c r="H6" s="10" t="s">
        <v>40</v>
      </c>
      <c r="I6" s="10" t="s">
        <v>160</v>
      </c>
      <c r="J6" s="11"/>
      <c r="K6" s="10" t="s">
        <v>261</v>
      </c>
      <c r="L6" s="10" t="s">
        <v>194</v>
      </c>
      <c r="M6" s="11" t="s">
        <v>262</v>
      </c>
      <c r="N6" s="11"/>
      <c r="O6" s="11" t="s">
        <v>184</v>
      </c>
      <c r="P6" s="10" t="s">
        <v>263</v>
      </c>
      <c r="Q6" s="10" t="s">
        <v>260</v>
      </c>
      <c r="R6" s="11"/>
      <c r="S6" s="9" t="str">
        <f>"560.00w"</f>
        <v>560.00w</v>
      </c>
      <c r="T6" s="10" t="str">
        <f>"355,4102"</f>
        <v>355,4102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A8" s="56" t="s">
        <v>132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1">
      <c r="A9" s="15" t="s">
        <v>265</v>
      </c>
      <c r="B9" s="12" t="s">
        <v>266</v>
      </c>
      <c r="C9" s="12" t="s">
        <v>267</v>
      </c>
      <c r="D9" s="12" t="str">
        <f>"0,5869"</f>
        <v>0,5869</v>
      </c>
      <c r="E9" s="15" t="s">
        <v>28</v>
      </c>
      <c r="F9" s="15" t="s">
        <v>151</v>
      </c>
      <c r="G9" s="12" t="s">
        <v>268</v>
      </c>
      <c r="H9" s="12" t="s">
        <v>55</v>
      </c>
      <c r="I9" s="16" t="s">
        <v>269</v>
      </c>
      <c r="J9" s="16"/>
      <c r="K9" s="12" t="s">
        <v>270</v>
      </c>
      <c r="L9" s="12" t="s">
        <v>222</v>
      </c>
      <c r="M9" s="12" t="s">
        <v>207</v>
      </c>
      <c r="N9" s="16"/>
      <c r="O9" s="12" t="s">
        <v>271</v>
      </c>
      <c r="P9" s="12" t="s">
        <v>41</v>
      </c>
      <c r="Q9" s="12" t="s">
        <v>272</v>
      </c>
      <c r="R9" s="16"/>
      <c r="S9" s="15" t="str">
        <f>"652.50w"</f>
        <v>652.50w</v>
      </c>
      <c r="T9" s="12" t="str">
        <f>"389,8454"</f>
        <v>389,8454</v>
      </c>
      <c r="U9" s="15"/>
    </row>
    <row r="10" spans="1:21">
      <c r="A10" s="19" t="s">
        <v>274</v>
      </c>
      <c r="B10" s="14" t="s">
        <v>275</v>
      </c>
      <c r="C10" s="14" t="s">
        <v>150</v>
      </c>
      <c r="D10" s="14" t="str">
        <f>"0,5853"</f>
        <v>0,5853</v>
      </c>
      <c r="E10" s="19" t="s">
        <v>28</v>
      </c>
      <c r="F10" s="19" t="s">
        <v>38</v>
      </c>
      <c r="G10" s="20" t="s">
        <v>184</v>
      </c>
      <c r="H10" s="14" t="s">
        <v>215</v>
      </c>
      <c r="I10" s="14" t="s">
        <v>174</v>
      </c>
      <c r="J10" s="20"/>
      <c r="K10" s="14" t="s">
        <v>115</v>
      </c>
      <c r="L10" s="14" t="s">
        <v>116</v>
      </c>
      <c r="M10" s="20" t="s">
        <v>21</v>
      </c>
      <c r="N10" s="20"/>
      <c r="O10" s="14" t="s">
        <v>160</v>
      </c>
      <c r="P10" s="14" t="s">
        <v>276</v>
      </c>
      <c r="Q10" s="14" t="s">
        <v>31</v>
      </c>
      <c r="R10" s="20"/>
      <c r="S10" s="19" t="str">
        <f>"615,0"</f>
        <v>615,0</v>
      </c>
      <c r="T10" s="14" t="str">
        <f>"371,1183"</f>
        <v>371,1183</v>
      </c>
      <c r="U10" s="19"/>
    </row>
    <row r="12" spans="1:21" ht="15">
      <c r="A12" s="56" t="s">
        <v>23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1">
      <c r="A13" s="9" t="s">
        <v>278</v>
      </c>
      <c r="B13" s="10" t="s">
        <v>279</v>
      </c>
      <c r="C13" s="10" t="s">
        <v>280</v>
      </c>
      <c r="D13" s="10" t="str">
        <f>"0,5599"</f>
        <v>0,5599</v>
      </c>
      <c r="E13" s="9" t="s">
        <v>28</v>
      </c>
      <c r="F13" s="9" t="s">
        <v>165</v>
      </c>
      <c r="G13" s="10" t="s">
        <v>281</v>
      </c>
      <c r="H13" s="11" t="s">
        <v>282</v>
      </c>
      <c r="I13" s="10" t="s">
        <v>283</v>
      </c>
      <c r="J13" s="11"/>
      <c r="K13" s="11" t="s">
        <v>21</v>
      </c>
      <c r="L13" s="10" t="s">
        <v>284</v>
      </c>
      <c r="M13" s="11" t="s">
        <v>192</v>
      </c>
      <c r="N13" s="11"/>
      <c r="O13" s="10" t="s">
        <v>32</v>
      </c>
      <c r="P13" s="10" t="s">
        <v>285</v>
      </c>
      <c r="Q13" s="10" t="s">
        <v>286</v>
      </c>
      <c r="R13" s="11"/>
      <c r="S13" s="9" t="str">
        <f>"762.50w"</f>
        <v>762.50w</v>
      </c>
      <c r="T13" s="10" t="str">
        <f>"426,9237"</f>
        <v>426,9237</v>
      </c>
      <c r="U13" s="9"/>
    </row>
    <row r="15" spans="1:21" ht="15">
      <c r="A15" s="56" t="s">
        <v>33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1">
      <c r="A16" s="9" t="s">
        <v>288</v>
      </c>
      <c r="B16" s="10" t="s">
        <v>289</v>
      </c>
      <c r="C16" s="10" t="s">
        <v>290</v>
      </c>
      <c r="D16" s="10" t="str">
        <f>"0,5407"</f>
        <v>0,5407</v>
      </c>
      <c r="E16" s="9" t="s">
        <v>28</v>
      </c>
      <c r="F16" s="9" t="s">
        <v>19</v>
      </c>
      <c r="G16" s="10" t="s">
        <v>206</v>
      </c>
      <c r="H16" s="10" t="s">
        <v>180</v>
      </c>
      <c r="I16" s="10" t="s">
        <v>39</v>
      </c>
      <c r="J16" s="11"/>
      <c r="K16" s="10" t="s">
        <v>291</v>
      </c>
      <c r="L16" s="10" t="s">
        <v>292</v>
      </c>
      <c r="M16" s="10" t="s">
        <v>261</v>
      </c>
      <c r="N16" s="11"/>
      <c r="O16" s="10" t="s">
        <v>180</v>
      </c>
      <c r="P16" s="10" t="s">
        <v>39</v>
      </c>
      <c r="Q16" s="10" t="s">
        <v>146</v>
      </c>
      <c r="R16" s="11"/>
      <c r="S16" s="9" t="str">
        <f>"502.50w"</f>
        <v>502.50w</v>
      </c>
      <c r="T16" s="10" t="str">
        <f>"271,7018"</f>
        <v>271,7018</v>
      </c>
      <c r="U16" s="9"/>
    </row>
    <row r="18" spans="1:21" ht="15">
      <c r="A18" s="56" t="s">
        <v>42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1">
      <c r="A19" s="15" t="s">
        <v>196</v>
      </c>
      <c r="B19" s="12" t="s">
        <v>197</v>
      </c>
      <c r="C19" s="12" t="s">
        <v>198</v>
      </c>
      <c r="D19" s="12" t="str">
        <f>"0,5308"</f>
        <v>0,5308</v>
      </c>
      <c r="E19" s="15" t="s">
        <v>28</v>
      </c>
      <c r="F19" s="15" t="s">
        <v>199</v>
      </c>
      <c r="G19" s="16" t="s">
        <v>293</v>
      </c>
      <c r="H19" s="12" t="s">
        <v>286</v>
      </c>
      <c r="I19" s="12" t="s">
        <v>281</v>
      </c>
      <c r="J19" s="16"/>
      <c r="K19" s="12" t="s">
        <v>271</v>
      </c>
      <c r="L19" s="12" t="s">
        <v>268</v>
      </c>
      <c r="M19" s="16" t="s">
        <v>94</v>
      </c>
      <c r="N19" s="16"/>
      <c r="O19" s="12" t="s">
        <v>286</v>
      </c>
      <c r="P19" s="12" t="s">
        <v>281</v>
      </c>
      <c r="Q19" s="16" t="s">
        <v>294</v>
      </c>
      <c r="R19" s="16"/>
      <c r="S19" s="15" t="str">
        <f>"825.00w"</f>
        <v>825.00w</v>
      </c>
      <c r="T19" s="12" t="str">
        <f>"437,9100"</f>
        <v>437,9100</v>
      </c>
      <c r="U19" s="15"/>
    </row>
    <row r="20" spans="1:21">
      <c r="A20" s="19" t="s">
        <v>296</v>
      </c>
      <c r="B20" s="14" t="s">
        <v>297</v>
      </c>
      <c r="C20" s="14" t="s">
        <v>298</v>
      </c>
      <c r="D20" s="14" t="str">
        <f>"0,5281"</f>
        <v>0,5281</v>
      </c>
      <c r="E20" s="19" t="s">
        <v>18</v>
      </c>
      <c r="F20" s="19" t="s">
        <v>19</v>
      </c>
      <c r="G20" s="14" t="s">
        <v>247</v>
      </c>
      <c r="H20" s="14" t="s">
        <v>299</v>
      </c>
      <c r="I20" s="14" t="s">
        <v>269</v>
      </c>
      <c r="J20" s="20"/>
      <c r="K20" s="14" t="s">
        <v>22</v>
      </c>
      <c r="L20" s="14" t="s">
        <v>300</v>
      </c>
      <c r="M20" s="14" t="s">
        <v>144</v>
      </c>
      <c r="N20" s="20"/>
      <c r="O20" s="14" t="s">
        <v>56</v>
      </c>
      <c r="P20" s="14" t="s">
        <v>61</v>
      </c>
      <c r="Q20" s="14" t="s">
        <v>301</v>
      </c>
      <c r="R20" s="20"/>
      <c r="S20" s="19" t="str">
        <f>"722,5"</f>
        <v>722,5</v>
      </c>
      <c r="T20" s="14" t="str">
        <f>"381,5523"</f>
        <v>381,5523</v>
      </c>
      <c r="U20" s="19" t="s">
        <v>302</v>
      </c>
    </row>
    <row r="22" spans="1:21" ht="15">
      <c r="E22" s="21" t="s">
        <v>69</v>
      </c>
    </row>
    <row r="23" spans="1:21" ht="15">
      <c r="E23" s="21" t="s">
        <v>70</v>
      </c>
    </row>
    <row r="24" spans="1:21" ht="15">
      <c r="E24" s="21" t="s">
        <v>71</v>
      </c>
    </row>
    <row r="25" spans="1:21">
      <c r="E25" s="4" t="s">
        <v>72</v>
      </c>
    </row>
    <row r="26" spans="1:21">
      <c r="E26" s="4" t="s">
        <v>73</v>
      </c>
    </row>
    <row r="27" spans="1:21">
      <c r="E27" s="4" t="s">
        <v>74</v>
      </c>
    </row>
    <row r="30" spans="1:21" ht="18">
      <c r="A30" s="22" t="s">
        <v>75</v>
      </c>
      <c r="B30" s="23"/>
    </row>
    <row r="31" spans="1:21" ht="15">
      <c r="A31" s="24" t="s">
        <v>83</v>
      </c>
      <c r="B31" s="25"/>
    </row>
    <row r="32" spans="1:21" ht="14.25">
      <c r="A32" s="27"/>
      <c r="B32" s="28" t="s">
        <v>77</v>
      </c>
    </row>
    <row r="33" spans="1:5" ht="15">
      <c r="A33" s="29" t="s">
        <v>0</v>
      </c>
      <c r="B33" s="29" t="s">
        <v>78</v>
      </c>
      <c r="C33" s="29" t="s">
        <v>79</v>
      </c>
      <c r="D33" s="29" t="s">
        <v>80</v>
      </c>
      <c r="E33" s="29" t="s">
        <v>11</v>
      </c>
    </row>
    <row r="34" spans="1:5">
      <c r="A34" s="26" t="s">
        <v>195</v>
      </c>
      <c r="B34" s="5" t="s">
        <v>77</v>
      </c>
      <c r="C34" s="5" t="s">
        <v>86</v>
      </c>
      <c r="D34" s="5" t="s">
        <v>303</v>
      </c>
      <c r="E34" s="30" t="s">
        <v>304</v>
      </c>
    </row>
    <row r="35" spans="1:5">
      <c r="A35" s="26" t="s">
        <v>277</v>
      </c>
      <c r="B35" s="5" t="s">
        <v>77</v>
      </c>
      <c r="C35" s="5" t="s">
        <v>88</v>
      </c>
      <c r="D35" s="5" t="s">
        <v>305</v>
      </c>
      <c r="E35" s="30" t="s">
        <v>306</v>
      </c>
    </row>
    <row r="36" spans="1:5">
      <c r="A36" s="26" t="s">
        <v>295</v>
      </c>
      <c r="B36" s="5" t="s">
        <v>77</v>
      </c>
      <c r="C36" s="5" t="s">
        <v>86</v>
      </c>
      <c r="D36" s="5" t="s">
        <v>307</v>
      </c>
      <c r="E36" s="30" t="s">
        <v>308</v>
      </c>
    </row>
    <row r="37" spans="1:5">
      <c r="A37" s="26" t="s">
        <v>287</v>
      </c>
      <c r="B37" s="5" t="s">
        <v>77</v>
      </c>
      <c r="C37" s="5" t="s">
        <v>93</v>
      </c>
      <c r="D37" s="5" t="s">
        <v>309</v>
      </c>
      <c r="E37" s="30" t="s">
        <v>310</v>
      </c>
    </row>
    <row r="39" spans="1:5" ht="14.25">
      <c r="A39" s="27"/>
      <c r="B39" s="28" t="s">
        <v>96</v>
      </c>
    </row>
    <row r="40" spans="1:5" ht="15">
      <c r="A40" s="29" t="s">
        <v>0</v>
      </c>
      <c r="B40" s="29" t="s">
        <v>78</v>
      </c>
      <c r="C40" s="29" t="s">
        <v>79</v>
      </c>
      <c r="D40" s="29" t="s">
        <v>80</v>
      </c>
      <c r="E40" s="29" t="s">
        <v>11</v>
      </c>
    </row>
    <row r="41" spans="1:5">
      <c r="A41" s="26" t="s">
        <v>264</v>
      </c>
      <c r="B41" s="5" t="s">
        <v>311</v>
      </c>
      <c r="C41" s="5" t="s">
        <v>214</v>
      </c>
      <c r="D41" s="5" t="s">
        <v>312</v>
      </c>
      <c r="E41" s="30" t="s">
        <v>313</v>
      </c>
    </row>
    <row r="42" spans="1:5">
      <c r="A42" s="26" t="s">
        <v>273</v>
      </c>
      <c r="B42" s="5" t="s">
        <v>311</v>
      </c>
      <c r="C42" s="5" t="s">
        <v>214</v>
      </c>
      <c r="D42" s="5" t="s">
        <v>314</v>
      </c>
      <c r="E42" s="30" t="s">
        <v>315</v>
      </c>
    </row>
    <row r="43" spans="1:5">
      <c r="A43" s="26" t="s">
        <v>256</v>
      </c>
      <c r="B43" s="5" t="s">
        <v>311</v>
      </c>
      <c r="C43" s="5" t="s">
        <v>221</v>
      </c>
      <c r="D43" s="5" t="s">
        <v>316</v>
      </c>
      <c r="E43" s="30" t="s">
        <v>317</v>
      </c>
    </row>
  </sheetData>
  <mergeCells count="18">
    <mergeCell ref="A15:T15"/>
    <mergeCell ref="A18:T18"/>
    <mergeCell ref="S3:S4"/>
    <mergeCell ref="T3:T4"/>
    <mergeCell ref="U3:U4"/>
    <mergeCell ref="A5:T5"/>
    <mergeCell ref="A8:T8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240</v>
      </c>
      <c r="B6" s="10" t="s">
        <v>241</v>
      </c>
      <c r="C6" s="10" t="s">
        <v>242</v>
      </c>
      <c r="D6" s="10" t="str">
        <f>"0,5540"</f>
        <v>0,5540</v>
      </c>
      <c r="E6" s="9" t="s">
        <v>28</v>
      </c>
      <c r="F6" s="9" t="s">
        <v>199</v>
      </c>
      <c r="G6" s="10" t="s">
        <v>116</v>
      </c>
      <c r="H6" s="10" t="s">
        <v>207</v>
      </c>
      <c r="I6" s="10" t="s">
        <v>39</v>
      </c>
      <c r="J6" s="11"/>
      <c r="K6" s="9" t="str">
        <f>"180,0"</f>
        <v>180,0</v>
      </c>
      <c r="L6" s="10" t="str">
        <f>"99,7200"</f>
        <v>99,7200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33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9" t="s">
        <v>244</v>
      </c>
      <c r="B9" s="10" t="s">
        <v>245</v>
      </c>
      <c r="C9" s="10" t="s">
        <v>246</v>
      </c>
      <c r="D9" s="10" t="str">
        <f>"0,5411"</f>
        <v>0,5411</v>
      </c>
      <c r="E9" s="9" t="s">
        <v>28</v>
      </c>
      <c r="F9" s="9" t="s">
        <v>19</v>
      </c>
      <c r="G9" s="10" t="s">
        <v>247</v>
      </c>
      <c r="H9" s="10" t="s">
        <v>248</v>
      </c>
      <c r="I9" s="11" t="s">
        <v>89</v>
      </c>
      <c r="J9" s="11"/>
      <c r="K9" s="9" t="str">
        <f>"250,0"</f>
        <v>250,0</v>
      </c>
      <c r="L9" s="10" t="str">
        <f>"135,2750"</f>
        <v>135,2750</v>
      </c>
      <c r="M9" s="9"/>
    </row>
    <row r="11" spans="1:13" ht="15">
      <c r="A11" s="56" t="s">
        <v>42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>
      <c r="A12" s="9" t="s">
        <v>250</v>
      </c>
      <c r="B12" s="10" t="s">
        <v>251</v>
      </c>
      <c r="C12" s="10" t="s">
        <v>252</v>
      </c>
      <c r="D12" s="10" t="str">
        <f>"0,5304"</f>
        <v>0,5304</v>
      </c>
      <c r="E12" s="9" t="s">
        <v>28</v>
      </c>
      <c r="F12" s="9" t="s">
        <v>199</v>
      </c>
      <c r="G12" s="10" t="s">
        <v>116</v>
      </c>
      <c r="H12" s="10" t="s">
        <v>207</v>
      </c>
      <c r="I12" s="10" t="s">
        <v>39</v>
      </c>
      <c r="J12" s="11"/>
      <c r="K12" s="9" t="str">
        <f>"180,0"</f>
        <v>180,0</v>
      </c>
      <c r="L12" s="10" t="str">
        <f>"95,4720"</f>
        <v>95,4720</v>
      </c>
      <c r="M12" s="9"/>
    </row>
    <row r="14" spans="1:13" ht="15">
      <c r="E14" s="21" t="s">
        <v>69</v>
      </c>
    </row>
    <row r="15" spans="1:13" ht="15">
      <c r="E15" s="21" t="s">
        <v>70</v>
      </c>
    </row>
    <row r="16" spans="1:13" ht="15">
      <c r="E16" s="21" t="s">
        <v>71</v>
      </c>
    </row>
    <row r="17" spans="1:5">
      <c r="E17" s="4" t="s">
        <v>72</v>
      </c>
    </row>
    <row r="18" spans="1:5">
      <c r="E18" s="4" t="s">
        <v>73</v>
      </c>
    </row>
    <row r="19" spans="1:5">
      <c r="E19" s="4" t="s">
        <v>74</v>
      </c>
    </row>
    <row r="22" spans="1:5" ht="18">
      <c r="A22" s="22" t="s">
        <v>75</v>
      </c>
      <c r="B22" s="23"/>
    </row>
    <row r="23" spans="1:5" ht="15">
      <c r="A23" s="24" t="s">
        <v>83</v>
      </c>
      <c r="B23" s="25"/>
    </row>
    <row r="24" spans="1:5" ht="14.25">
      <c r="A24" s="27"/>
      <c r="B24" s="28" t="s">
        <v>77</v>
      </c>
    </row>
    <row r="25" spans="1:5" ht="15">
      <c r="A25" s="29" t="s">
        <v>0</v>
      </c>
      <c r="B25" s="29" t="s">
        <v>78</v>
      </c>
      <c r="C25" s="29" t="s">
        <v>79</v>
      </c>
      <c r="D25" s="29" t="s">
        <v>80</v>
      </c>
      <c r="E25" s="29" t="s">
        <v>11</v>
      </c>
    </row>
    <row r="26" spans="1:5">
      <c r="A26" s="26" t="s">
        <v>243</v>
      </c>
      <c r="B26" s="5" t="s">
        <v>77</v>
      </c>
      <c r="C26" s="5" t="s">
        <v>93</v>
      </c>
      <c r="D26" s="5" t="s">
        <v>248</v>
      </c>
      <c r="E26" s="30" t="s">
        <v>253</v>
      </c>
    </row>
    <row r="27" spans="1:5">
      <c r="A27" s="26" t="s">
        <v>239</v>
      </c>
      <c r="B27" s="5" t="s">
        <v>77</v>
      </c>
      <c r="C27" s="5" t="s">
        <v>88</v>
      </c>
      <c r="D27" s="5" t="s">
        <v>144</v>
      </c>
      <c r="E27" s="30" t="s">
        <v>254</v>
      </c>
    </row>
    <row r="28" spans="1:5">
      <c r="A28" s="26" t="s">
        <v>249</v>
      </c>
      <c r="B28" s="5" t="s">
        <v>77</v>
      </c>
      <c r="C28" s="5" t="s">
        <v>86</v>
      </c>
      <c r="D28" s="5" t="s">
        <v>144</v>
      </c>
      <c r="E28" s="30" t="s">
        <v>255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235</v>
      </c>
      <c r="B6" s="10" t="s">
        <v>236</v>
      </c>
      <c r="C6" s="10" t="s">
        <v>172</v>
      </c>
      <c r="D6" s="10" t="str">
        <f>"0,5380"</f>
        <v>0,5380</v>
      </c>
      <c r="E6" s="9" t="s">
        <v>28</v>
      </c>
      <c r="F6" s="9" t="s">
        <v>54</v>
      </c>
      <c r="G6" s="10" t="s">
        <v>31</v>
      </c>
      <c r="H6" s="10" t="s">
        <v>32</v>
      </c>
      <c r="I6" s="11" t="s">
        <v>237</v>
      </c>
      <c r="J6" s="11"/>
      <c r="K6" s="9" t="str">
        <f>"260,0"</f>
        <v>260,0</v>
      </c>
      <c r="L6" s="10" t="str">
        <f>"139,8800"</f>
        <v>139,8800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E8" s="21" t="s">
        <v>69</v>
      </c>
    </row>
    <row r="9" spans="1:13" ht="15">
      <c r="E9" s="21" t="s">
        <v>70</v>
      </c>
    </row>
    <row r="10" spans="1:13" ht="15">
      <c r="E10" s="21" t="s">
        <v>71</v>
      </c>
    </row>
    <row r="11" spans="1:13">
      <c r="E11" s="4" t="s">
        <v>72</v>
      </c>
    </row>
    <row r="12" spans="1:13">
      <c r="E12" s="4" t="s">
        <v>73</v>
      </c>
    </row>
    <row r="13" spans="1:13">
      <c r="E13" s="4" t="s">
        <v>74</v>
      </c>
    </row>
    <row r="16" spans="1:13" ht="18">
      <c r="A16" s="22" t="s">
        <v>75</v>
      </c>
      <c r="B16" s="23"/>
    </row>
    <row r="17" spans="1:5" ht="15">
      <c r="A17" s="24" t="s">
        <v>83</v>
      </c>
      <c r="B17" s="25"/>
    </row>
    <row r="18" spans="1:5" ht="14.25">
      <c r="A18" s="27"/>
      <c r="B18" s="28" t="s">
        <v>77</v>
      </c>
    </row>
    <row r="19" spans="1:5" ht="15">
      <c r="A19" s="29" t="s">
        <v>0</v>
      </c>
      <c r="B19" s="29" t="s">
        <v>78</v>
      </c>
      <c r="C19" s="29" t="s">
        <v>79</v>
      </c>
      <c r="D19" s="29" t="s">
        <v>80</v>
      </c>
      <c r="E19" s="29" t="s">
        <v>11</v>
      </c>
    </row>
    <row r="20" spans="1:5">
      <c r="A20" s="26" t="s">
        <v>234</v>
      </c>
      <c r="B20" s="5" t="s">
        <v>77</v>
      </c>
      <c r="C20" s="5" t="s">
        <v>93</v>
      </c>
      <c r="D20" s="5" t="s">
        <v>89</v>
      </c>
      <c r="E20" s="30" t="s">
        <v>238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9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.8554687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102</v>
      </c>
      <c r="B6" s="10" t="s">
        <v>103</v>
      </c>
      <c r="C6" s="10" t="s">
        <v>104</v>
      </c>
      <c r="D6" s="10" t="str">
        <f>"0,7337"</f>
        <v>0,7337</v>
      </c>
      <c r="E6" s="9" t="s">
        <v>105</v>
      </c>
      <c r="F6" s="9" t="s">
        <v>106</v>
      </c>
      <c r="G6" s="10" t="s">
        <v>107</v>
      </c>
      <c r="H6" s="10" t="s">
        <v>108</v>
      </c>
      <c r="I6" s="11"/>
      <c r="J6" s="11"/>
      <c r="K6" s="9" t="str">
        <f>"125,0"</f>
        <v>125,0</v>
      </c>
      <c r="L6" s="10" t="str">
        <f>"91,7125"</f>
        <v>91,7125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109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15" t="s">
        <v>111</v>
      </c>
      <c r="B9" s="12" t="s">
        <v>112</v>
      </c>
      <c r="C9" s="12" t="s">
        <v>113</v>
      </c>
      <c r="D9" s="12" t="str">
        <f>"0,6235"</f>
        <v>0,6235</v>
      </c>
      <c r="E9" s="15" t="s">
        <v>28</v>
      </c>
      <c r="F9" s="15" t="s">
        <v>114</v>
      </c>
      <c r="G9" s="12" t="s">
        <v>115</v>
      </c>
      <c r="H9" s="12" t="s">
        <v>116</v>
      </c>
      <c r="I9" s="16" t="s">
        <v>21</v>
      </c>
      <c r="J9" s="16"/>
      <c r="K9" s="15" t="str">
        <f>"155,0"</f>
        <v>155,0</v>
      </c>
      <c r="L9" s="12" t="str">
        <f>"96,6425"</f>
        <v>96,6425</v>
      </c>
      <c r="M9" s="15"/>
    </row>
    <row r="10" spans="1:13">
      <c r="A10" s="17" t="s">
        <v>118</v>
      </c>
      <c r="B10" s="13" t="s">
        <v>119</v>
      </c>
      <c r="C10" s="13" t="s">
        <v>120</v>
      </c>
      <c r="D10" s="13" t="str">
        <f>"0,6301"</f>
        <v>0,6301</v>
      </c>
      <c r="E10" s="17" t="s">
        <v>121</v>
      </c>
      <c r="F10" s="17" t="s">
        <v>122</v>
      </c>
      <c r="G10" s="13" t="s">
        <v>123</v>
      </c>
      <c r="H10" s="13" t="s">
        <v>124</v>
      </c>
      <c r="I10" s="13" t="s">
        <v>125</v>
      </c>
      <c r="J10" s="18"/>
      <c r="K10" s="17" t="str">
        <f>"132,5"</f>
        <v>132,5</v>
      </c>
      <c r="L10" s="13" t="str">
        <f>"83,4883"</f>
        <v>83,4883</v>
      </c>
      <c r="M10" s="17"/>
    </row>
    <row r="11" spans="1:13">
      <c r="A11" s="19" t="s">
        <v>127</v>
      </c>
      <c r="B11" s="14" t="s">
        <v>128</v>
      </c>
      <c r="C11" s="14" t="s">
        <v>129</v>
      </c>
      <c r="D11" s="14" t="str">
        <f>"0,6245"</f>
        <v>0,6245</v>
      </c>
      <c r="E11" s="19" t="s">
        <v>130</v>
      </c>
      <c r="F11" s="19" t="s">
        <v>66</v>
      </c>
      <c r="G11" s="20" t="s">
        <v>107</v>
      </c>
      <c r="H11" s="14" t="s">
        <v>107</v>
      </c>
      <c r="I11" s="20" t="s">
        <v>131</v>
      </c>
      <c r="J11" s="20"/>
      <c r="K11" s="19" t="str">
        <f>"120,0"</f>
        <v>120,0</v>
      </c>
      <c r="L11" s="14" t="str">
        <f>"110,9112"</f>
        <v>110,9112</v>
      </c>
      <c r="M11" s="19"/>
    </row>
    <row r="13" spans="1:13" ht="15">
      <c r="A13" s="56" t="s">
        <v>132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3">
      <c r="A14" s="15" t="s">
        <v>134</v>
      </c>
      <c r="B14" s="12" t="s">
        <v>135</v>
      </c>
      <c r="C14" s="12" t="s">
        <v>136</v>
      </c>
      <c r="D14" s="12" t="str">
        <f>"0,5905"</f>
        <v>0,5905</v>
      </c>
      <c r="E14" s="15" t="s">
        <v>28</v>
      </c>
      <c r="F14" s="15" t="s">
        <v>137</v>
      </c>
      <c r="G14" s="12" t="s">
        <v>39</v>
      </c>
      <c r="H14" s="12" t="s">
        <v>138</v>
      </c>
      <c r="I14" s="12" t="s">
        <v>139</v>
      </c>
      <c r="J14" s="16"/>
      <c r="K14" s="15" t="str">
        <f>"195,0"</f>
        <v>195,0</v>
      </c>
      <c r="L14" s="12" t="str">
        <f>"115,1475"</f>
        <v>115,1475</v>
      </c>
      <c r="M14" s="15"/>
    </row>
    <row r="15" spans="1:13">
      <c r="A15" s="17" t="s">
        <v>141</v>
      </c>
      <c r="B15" s="13" t="s">
        <v>142</v>
      </c>
      <c r="C15" s="13" t="s">
        <v>143</v>
      </c>
      <c r="D15" s="13" t="str">
        <f>"0,5914"</f>
        <v>0,5914</v>
      </c>
      <c r="E15" s="17" t="s">
        <v>28</v>
      </c>
      <c r="F15" s="17" t="s">
        <v>19</v>
      </c>
      <c r="G15" s="13" t="s">
        <v>144</v>
      </c>
      <c r="H15" s="13" t="s">
        <v>145</v>
      </c>
      <c r="I15" s="13" t="s">
        <v>146</v>
      </c>
      <c r="J15" s="18"/>
      <c r="K15" s="17" t="str">
        <f>"192,5"</f>
        <v>192,5</v>
      </c>
      <c r="L15" s="13" t="str">
        <f>"113,8445"</f>
        <v>113,8445</v>
      </c>
      <c r="M15" s="17"/>
    </row>
    <row r="16" spans="1:13">
      <c r="A16" s="19" t="s">
        <v>148</v>
      </c>
      <c r="B16" s="14" t="s">
        <v>149</v>
      </c>
      <c r="C16" s="14" t="s">
        <v>150</v>
      </c>
      <c r="D16" s="14" t="str">
        <f>"0,5853"</f>
        <v>0,5853</v>
      </c>
      <c r="E16" s="19" t="s">
        <v>28</v>
      </c>
      <c r="F16" s="19" t="s">
        <v>151</v>
      </c>
      <c r="G16" s="14" t="s">
        <v>152</v>
      </c>
      <c r="H16" s="14" t="s">
        <v>144</v>
      </c>
      <c r="I16" s="14" t="s">
        <v>153</v>
      </c>
      <c r="J16" s="20"/>
      <c r="K16" s="19" t="str">
        <f>"182,5"</f>
        <v>182,5</v>
      </c>
      <c r="L16" s="14" t="str">
        <f>"106,8173"</f>
        <v>106,8173</v>
      </c>
      <c r="M16" s="19"/>
    </row>
    <row r="18" spans="1:13" ht="15">
      <c r="A18" s="56" t="s">
        <v>23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>
      <c r="A19" s="15" t="s">
        <v>155</v>
      </c>
      <c r="B19" s="12" t="s">
        <v>156</v>
      </c>
      <c r="C19" s="12" t="s">
        <v>157</v>
      </c>
      <c r="D19" s="12" t="str">
        <f>"0,5586"</f>
        <v>0,5586</v>
      </c>
      <c r="E19" s="15" t="s">
        <v>28</v>
      </c>
      <c r="F19" s="15" t="s">
        <v>158</v>
      </c>
      <c r="G19" s="16" t="s">
        <v>159</v>
      </c>
      <c r="H19" s="12" t="s">
        <v>160</v>
      </c>
      <c r="I19" s="12" t="s">
        <v>41</v>
      </c>
      <c r="J19" s="16"/>
      <c r="K19" s="15" t="str">
        <f>"230,0"</f>
        <v>230,0</v>
      </c>
      <c r="L19" s="12" t="str">
        <f>"128,4780"</f>
        <v>128,4780</v>
      </c>
      <c r="M19" s="15"/>
    </row>
    <row r="20" spans="1:13">
      <c r="A20" s="17" t="s">
        <v>162</v>
      </c>
      <c r="B20" s="13" t="s">
        <v>163</v>
      </c>
      <c r="C20" s="13" t="s">
        <v>164</v>
      </c>
      <c r="D20" s="13" t="str">
        <f>"0,5642"</f>
        <v>0,5642</v>
      </c>
      <c r="E20" s="17" t="s">
        <v>28</v>
      </c>
      <c r="F20" s="17" t="s">
        <v>165</v>
      </c>
      <c r="G20" s="13" t="s">
        <v>166</v>
      </c>
      <c r="H20" s="13" t="s">
        <v>167</v>
      </c>
      <c r="I20" s="18" t="s">
        <v>159</v>
      </c>
      <c r="J20" s="18"/>
      <c r="K20" s="17" t="str">
        <f>"212,5"</f>
        <v>212,5</v>
      </c>
      <c r="L20" s="13" t="str">
        <f>"119,8925"</f>
        <v>119,8925</v>
      </c>
      <c r="M20" s="17"/>
    </row>
    <row r="21" spans="1:13">
      <c r="A21" s="19" t="s">
        <v>168</v>
      </c>
      <c r="B21" s="14" t="s">
        <v>26</v>
      </c>
      <c r="C21" s="14" t="s">
        <v>27</v>
      </c>
      <c r="D21" s="14" t="str">
        <f>"0,5630"</f>
        <v>0,5630</v>
      </c>
      <c r="E21" s="19" t="s">
        <v>28</v>
      </c>
      <c r="F21" s="19" t="s">
        <v>29</v>
      </c>
      <c r="G21" s="14" t="s">
        <v>115</v>
      </c>
      <c r="H21" s="20" t="s">
        <v>22</v>
      </c>
      <c r="I21" s="20" t="s">
        <v>144</v>
      </c>
      <c r="J21" s="20"/>
      <c r="K21" s="19" t="str">
        <f>"150,0"</f>
        <v>150,0</v>
      </c>
      <c r="L21" s="14" t="str">
        <f>"84,4500"</f>
        <v>84,4500</v>
      </c>
      <c r="M21" s="19"/>
    </row>
    <row r="23" spans="1:13" ht="15">
      <c r="A23" s="56" t="s">
        <v>33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3">
      <c r="A24" s="15" t="s">
        <v>170</v>
      </c>
      <c r="B24" s="12" t="s">
        <v>171</v>
      </c>
      <c r="C24" s="12" t="s">
        <v>172</v>
      </c>
      <c r="D24" s="12" t="str">
        <f>"0,5380"</f>
        <v>0,5380</v>
      </c>
      <c r="E24" s="15" t="s">
        <v>130</v>
      </c>
      <c r="F24" s="15" t="s">
        <v>66</v>
      </c>
      <c r="G24" s="12" t="s">
        <v>173</v>
      </c>
      <c r="H24" s="16" t="s">
        <v>174</v>
      </c>
      <c r="I24" s="16" t="s">
        <v>174</v>
      </c>
      <c r="J24" s="16"/>
      <c r="K24" s="15" t="str">
        <f>"200,0"</f>
        <v>200,0</v>
      </c>
      <c r="L24" s="12" t="str">
        <f>"107,6000"</f>
        <v>107,6000</v>
      </c>
      <c r="M24" s="15"/>
    </row>
    <row r="25" spans="1:13">
      <c r="A25" s="17" t="s">
        <v>176</v>
      </c>
      <c r="B25" s="13" t="s">
        <v>177</v>
      </c>
      <c r="C25" s="13" t="s">
        <v>178</v>
      </c>
      <c r="D25" s="13" t="str">
        <f>"0,5508"</f>
        <v>0,5508</v>
      </c>
      <c r="E25" s="17" t="s">
        <v>28</v>
      </c>
      <c r="F25" s="17" t="s">
        <v>19</v>
      </c>
      <c r="G25" s="13" t="s">
        <v>21</v>
      </c>
      <c r="H25" s="18" t="s">
        <v>179</v>
      </c>
      <c r="I25" s="13" t="s">
        <v>180</v>
      </c>
      <c r="J25" s="18"/>
      <c r="K25" s="17" t="str">
        <f>"170,0"</f>
        <v>170,0</v>
      </c>
      <c r="L25" s="13" t="str">
        <f>"93,6360"</f>
        <v>93,6360</v>
      </c>
      <c r="M25" s="17"/>
    </row>
    <row r="26" spans="1:13">
      <c r="A26" s="17" t="s">
        <v>181</v>
      </c>
      <c r="B26" s="13" t="s">
        <v>182</v>
      </c>
      <c r="C26" s="13" t="s">
        <v>183</v>
      </c>
      <c r="D26" s="13" t="str">
        <f>"0,5368"</f>
        <v>0,5368</v>
      </c>
      <c r="E26" s="17" t="s">
        <v>28</v>
      </c>
      <c r="F26" s="17" t="s">
        <v>19</v>
      </c>
      <c r="G26" s="18" t="s">
        <v>184</v>
      </c>
      <c r="H26" s="18" t="s">
        <v>184</v>
      </c>
      <c r="I26" s="18" t="s">
        <v>184</v>
      </c>
      <c r="J26" s="18"/>
      <c r="K26" s="17" t="str">
        <f>"0.00"</f>
        <v>0.00</v>
      </c>
      <c r="L26" s="13" t="str">
        <f>"0,0000"</f>
        <v>0,0000</v>
      </c>
      <c r="M26" s="17"/>
    </row>
    <row r="27" spans="1:13">
      <c r="A27" s="17" t="s">
        <v>170</v>
      </c>
      <c r="B27" s="13" t="s">
        <v>185</v>
      </c>
      <c r="C27" s="13" t="s">
        <v>172</v>
      </c>
      <c r="D27" s="13" t="str">
        <f>"0,5380"</f>
        <v>0,5380</v>
      </c>
      <c r="E27" s="17" t="s">
        <v>130</v>
      </c>
      <c r="F27" s="17" t="s">
        <v>66</v>
      </c>
      <c r="G27" s="13" t="s">
        <v>173</v>
      </c>
      <c r="H27" s="18" t="s">
        <v>174</v>
      </c>
      <c r="I27" s="18" t="s">
        <v>174</v>
      </c>
      <c r="J27" s="18"/>
      <c r="K27" s="17" t="str">
        <f>"200,0"</f>
        <v>200,0</v>
      </c>
      <c r="L27" s="13" t="str">
        <f>"115,0244"</f>
        <v>115,0244</v>
      </c>
      <c r="M27" s="17"/>
    </row>
    <row r="28" spans="1:13">
      <c r="A28" s="19" t="s">
        <v>187</v>
      </c>
      <c r="B28" s="14" t="s">
        <v>188</v>
      </c>
      <c r="C28" s="14" t="s">
        <v>189</v>
      </c>
      <c r="D28" s="14" t="str">
        <f>"0,5373"</f>
        <v>0,5373</v>
      </c>
      <c r="E28" s="19" t="s">
        <v>190</v>
      </c>
      <c r="F28" s="19" t="s">
        <v>191</v>
      </c>
      <c r="G28" s="14" t="s">
        <v>192</v>
      </c>
      <c r="H28" s="14" t="s">
        <v>193</v>
      </c>
      <c r="I28" s="20" t="s">
        <v>184</v>
      </c>
      <c r="J28" s="20"/>
      <c r="K28" s="19" t="str">
        <f>"185,0"</f>
        <v>185,0</v>
      </c>
      <c r="L28" s="14" t="str">
        <f>"108,5453"</f>
        <v>108,5453</v>
      </c>
      <c r="M28" s="19"/>
    </row>
    <row r="30" spans="1:13" ht="15">
      <c r="A30" s="56" t="s">
        <v>42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3">
      <c r="A31" s="15" t="s">
        <v>44</v>
      </c>
      <c r="B31" s="12" t="s">
        <v>45</v>
      </c>
      <c r="C31" s="12" t="s">
        <v>46</v>
      </c>
      <c r="D31" s="12" t="str">
        <f>"0,5235"</f>
        <v>0,5235</v>
      </c>
      <c r="E31" s="15" t="s">
        <v>28</v>
      </c>
      <c r="F31" s="15" t="s">
        <v>47</v>
      </c>
      <c r="G31" s="12" t="s">
        <v>194</v>
      </c>
      <c r="H31" s="12" t="s">
        <v>115</v>
      </c>
      <c r="I31" s="16" t="s">
        <v>21</v>
      </c>
      <c r="J31" s="16"/>
      <c r="K31" s="15" t="str">
        <f>"150,0"</f>
        <v>150,0</v>
      </c>
      <c r="L31" s="12" t="str">
        <f>"78,5250"</f>
        <v>78,5250</v>
      </c>
      <c r="M31" s="15"/>
    </row>
    <row r="32" spans="1:13">
      <c r="A32" s="17" t="s">
        <v>196</v>
      </c>
      <c r="B32" s="13" t="s">
        <v>197</v>
      </c>
      <c r="C32" s="13" t="s">
        <v>198</v>
      </c>
      <c r="D32" s="13" t="str">
        <f>"0,5308"</f>
        <v>0,5308</v>
      </c>
      <c r="E32" s="17" t="s">
        <v>28</v>
      </c>
      <c r="F32" s="17" t="s">
        <v>199</v>
      </c>
      <c r="G32" s="13" t="s">
        <v>200</v>
      </c>
      <c r="H32" s="13" t="s">
        <v>201</v>
      </c>
      <c r="I32" s="18" t="s">
        <v>94</v>
      </c>
      <c r="J32" s="18"/>
      <c r="K32" s="17" t="str">
        <f>"225,0"</f>
        <v>225,0</v>
      </c>
      <c r="L32" s="13" t="str">
        <f>"119,4300"</f>
        <v>119,4300</v>
      </c>
      <c r="M32" s="17"/>
    </row>
    <row r="33" spans="1:13">
      <c r="A33" s="19" t="s">
        <v>203</v>
      </c>
      <c r="B33" s="14" t="s">
        <v>204</v>
      </c>
      <c r="C33" s="14" t="s">
        <v>205</v>
      </c>
      <c r="D33" s="14" t="str">
        <f>"0,5214"</f>
        <v>0,5214</v>
      </c>
      <c r="E33" s="19" t="s">
        <v>28</v>
      </c>
      <c r="F33" s="19" t="s">
        <v>165</v>
      </c>
      <c r="G33" s="14" t="s">
        <v>206</v>
      </c>
      <c r="H33" s="14" t="s">
        <v>207</v>
      </c>
      <c r="I33" s="14" t="s">
        <v>180</v>
      </c>
      <c r="J33" s="20"/>
      <c r="K33" s="19" t="str">
        <f>"170,0"</f>
        <v>170,0</v>
      </c>
      <c r="L33" s="14" t="str">
        <f>"145,8095"</f>
        <v>145,8095</v>
      </c>
      <c r="M33" s="19"/>
    </row>
    <row r="35" spans="1:13" ht="15">
      <c r="E35" s="21" t="s">
        <v>69</v>
      </c>
    </row>
    <row r="36" spans="1:13" ht="15">
      <c r="E36" s="21" t="s">
        <v>70</v>
      </c>
    </row>
    <row r="37" spans="1:13" ht="15">
      <c r="E37" s="21" t="s">
        <v>71</v>
      </c>
    </row>
    <row r="38" spans="1:13">
      <c r="E38" s="4" t="s">
        <v>72</v>
      </c>
    </row>
    <row r="39" spans="1:13">
      <c r="E39" s="4" t="s">
        <v>73</v>
      </c>
    </row>
    <row r="40" spans="1:13">
      <c r="E40" s="4" t="s">
        <v>74</v>
      </c>
    </row>
    <row r="43" spans="1:13" ht="18">
      <c r="A43" s="22" t="s">
        <v>75</v>
      </c>
      <c r="B43" s="23"/>
    </row>
    <row r="44" spans="1:13" ht="15">
      <c r="A44" s="24" t="s">
        <v>83</v>
      </c>
      <c r="B44" s="25"/>
    </row>
    <row r="45" spans="1:13" ht="14.25">
      <c r="A45" s="27"/>
      <c r="B45" s="28" t="s">
        <v>84</v>
      </c>
    </row>
    <row r="46" spans="1:13" ht="15">
      <c r="A46" s="29" t="s">
        <v>0</v>
      </c>
      <c r="B46" s="29" t="s">
        <v>78</v>
      </c>
      <c r="C46" s="29" t="s">
        <v>79</v>
      </c>
      <c r="D46" s="29" t="s">
        <v>80</v>
      </c>
      <c r="E46" s="29" t="s">
        <v>11</v>
      </c>
    </row>
    <row r="47" spans="1:13">
      <c r="A47" s="26" t="s">
        <v>43</v>
      </c>
      <c r="B47" s="5" t="s">
        <v>85</v>
      </c>
      <c r="C47" s="5" t="s">
        <v>86</v>
      </c>
      <c r="D47" s="5" t="s">
        <v>208</v>
      </c>
      <c r="E47" s="30" t="s">
        <v>209</v>
      </c>
    </row>
    <row r="49" spans="1:5" ht="14.25">
      <c r="A49" s="27"/>
      <c r="B49" s="28" t="s">
        <v>77</v>
      </c>
    </row>
    <row r="50" spans="1:5" ht="15">
      <c r="A50" s="29" t="s">
        <v>0</v>
      </c>
      <c r="B50" s="29" t="s">
        <v>78</v>
      </c>
      <c r="C50" s="29" t="s">
        <v>79</v>
      </c>
      <c r="D50" s="29" t="s">
        <v>80</v>
      </c>
      <c r="E50" s="29" t="s">
        <v>11</v>
      </c>
    </row>
    <row r="51" spans="1:5">
      <c r="A51" s="26" t="s">
        <v>154</v>
      </c>
      <c r="B51" s="5" t="s">
        <v>77</v>
      </c>
      <c r="C51" s="5" t="s">
        <v>88</v>
      </c>
      <c r="D51" s="5" t="s">
        <v>94</v>
      </c>
      <c r="E51" s="30" t="s">
        <v>210</v>
      </c>
    </row>
    <row r="52" spans="1:5">
      <c r="A52" s="26" t="s">
        <v>161</v>
      </c>
      <c r="B52" s="5" t="s">
        <v>77</v>
      </c>
      <c r="C52" s="5" t="s">
        <v>88</v>
      </c>
      <c r="D52" s="5" t="s">
        <v>211</v>
      </c>
      <c r="E52" s="30" t="s">
        <v>212</v>
      </c>
    </row>
    <row r="53" spans="1:5">
      <c r="A53" s="26" t="s">
        <v>195</v>
      </c>
      <c r="B53" s="5" t="s">
        <v>77</v>
      </c>
      <c r="C53" s="5" t="s">
        <v>86</v>
      </c>
      <c r="D53" s="5" t="s">
        <v>201</v>
      </c>
      <c r="E53" s="30" t="s">
        <v>213</v>
      </c>
    </row>
    <row r="54" spans="1:5">
      <c r="A54" s="26" t="s">
        <v>133</v>
      </c>
      <c r="B54" s="5" t="s">
        <v>77</v>
      </c>
      <c r="C54" s="5" t="s">
        <v>214</v>
      </c>
      <c r="D54" s="5" t="s">
        <v>215</v>
      </c>
      <c r="E54" s="30" t="s">
        <v>216</v>
      </c>
    </row>
    <row r="55" spans="1:5">
      <c r="A55" s="26" t="s">
        <v>140</v>
      </c>
      <c r="B55" s="5" t="s">
        <v>77</v>
      </c>
      <c r="C55" s="5" t="s">
        <v>214</v>
      </c>
      <c r="D55" s="5" t="s">
        <v>217</v>
      </c>
      <c r="E55" s="30" t="s">
        <v>218</v>
      </c>
    </row>
    <row r="56" spans="1:5">
      <c r="A56" s="26" t="s">
        <v>169</v>
      </c>
      <c r="B56" s="5" t="s">
        <v>77</v>
      </c>
      <c r="C56" s="5" t="s">
        <v>93</v>
      </c>
      <c r="D56" s="5" t="s">
        <v>173</v>
      </c>
      <c r="E56" s="30" t="s">
        <v>219</v>
      </c>
    </row>
    <row r="57" spans="1:5">
      <c r="A57" s="26" t="s">
        <v>147</v>
      </c>
      <c r="B57" s="5" t="s">
        <v>77</v>
      </c>
      <c r="C57" s="5" t="s">
        <v>214</v>
      </c>
      <c r="D57" s="5" t="s">
        <v>153</v>
      </c>
      <c r="E57" s="30" t="s">
        <v>220</v>
      </c>
    </row>
    <row r="58" spans="1:5">
      <c r="A58" s="26" t="s">
        <v>110</v>
      </c>
      <c r="B58" s="5" t="s">
        <v>77</v>
      </c>
      <c r="C58" s="5" t="s">
        <v>221</v>
      </c>
      <c r="D58" s="5" t="s">
        <v>222</v>
      </c>
      <c r="E58" s="30" t="s">
        <v>223</v>
      </c>
    </row>
    <row r="59" spans="1:5">
      <c r="A59" s="26" t="s">
        <v>175</v>
      </c>
      <c r="B59" s="5" t="s">
        <v>77</v>
      </c>
      <c r="C59" s="5" t="s">
        <v>93</v>
      </c>
      <c r="D59" s="5" t="s">
        <v>179</v>
      </c>
      <c r="E59" s="30" t="s">
        <v>224</v>
      </c>
    </row>
    <row r="60" spans="1:5">
      <c r="A60" s="26" t="s">
        <v>101</v>
      </c>
      <c r="B60" s="5" t="s">
        <v>77</v>
      </c>
      <c r="C60" s="5" t="s">
        <v>81</v>
      </c>
      <c r="D60" s="5" t="s">
        <v>108</v>
      </c>
      <c r="E60" s="30" t="s">
        <v>225</v>
      </c>
    </row>
    <row r="61" spans="1:5">
      <c r="A61" s="26" t="s">
        <v>24</v>
      </c>
      <c r="B61" s="5" t="s">
        <v>77</v>
      </c>
      <c r="C61" s="5" t="s">
        <v>88</v>
      </c>
      <c r="D61" s="5" t="s">
        <v>208</v>
      </c>
      <c r="E61" s="30" t="s">
        <v>226</v>
      </c>
    </row>
    <row r="62" spans="1:5">
      <c r="A62" s="26" t="s">
        <v>117</v>
      </c>
      <c r="B62" s="5" t="s">
        <v>77</v>
      </c>
      <c r="C62" s="5" t="s">
        <v>221</v>
      </c>
      <c r="D62" s="5" t="s">
        <v>125</v>
      </c>
      <c r="E62" s="30" t="s">
        <v>227</v>
      </c>
    </row>
    <row r="64" spans="1:5" ht="14.25">
      <c r="A64" s="27"/>
      <c r="B64" s="28" t="s">
        <v>96</v>
      </c>
    </row>
    <row r="65" spans="1:5" ht="15">
      <c r="A65" s="29" t="s">
        <v>0</v>
      </c>
      <c r="B65" s="29" t="s">
        <v>78</v>
      </c>
      <c r="C65" s="29" t="s">
        <v>79</v>
      </c>
      <c r="D65" s="29" t="s">
        <v>80</v>
      </c>
      <c r="E65" s="29" t="s">
        <v>11</v>
      </c>
    </row>
    <row r="66" spans="1:5">
      <c r="A66" s="26" t="s">
        <v>202</v>
      </c>
      <c r="B66" s="5" t="s">
        <v>228</v>
      </c>
      <c r="C66" s="5" t="s">
        <v>86</v>
      </c>
      <c r="D66" s="5" t="s">
        <v>179</v>
      </c>
      <c r="E66" s="30" t="s">
        <v>229</v>
      </c>
    </row>
    <row r="67" spans="1:5">
      <c r="A67" s="26" t="s">
        <v>169</v>
      </c>
      <c r="B67" s="5" t="s">
        <v>230</v>
      </c>
      <c r="C67" s="5" t="s">
        <v>93</v>
      </c>
      <c r="D67" s="5" t="s">
        <v>173</v>
      </c>
      <c r="E67" s="30" t="s">
        <v>231</v>
      </c>
    </row>
    <row r="68" spans="1:5">
      <c r="A68" s="26" t="s">
        <v>126</v>
      </c>
      <c r="B68" s="5" t="s">
        <v>97</v>
      </c>
      <c r="C68" s="5" t="s">
        <v>221</v>
      </c>
      <c r="D68" s="5" t="s">
        <v>107</v>
      </c>
      <c r="E68" s="30" t="s">
        <v>232</v>
      </c>
    </row>
    <row r="69" spans="1:5">
      <c r="A69" s="26" t="s">
        <v>186</v>
      </c>
      <c r="B69" s="5" t="s">
        <v>230</v>
      </c>
      <c r="C69" s="5" t="s">
        <v>93</v>
      </c>
      <c r="D69" s="5" t="s">
        <v>193</v>
      </c>
      <c r="E69" s="30" t="s">
        <v>233</v>
      </c>
    </row>
  </sheetData>
  <mergeCells count="17">
    <mergeCell ref="A18:L18"/>
    <mergeCell ref="A23:L23"/>
    <mergeCell ref="A30:L30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49"/>
  <sheetViews>
    <sheetView zoomScaleNormal="100"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.85546875" style="4" bestFit="1" customWidth="1"/>
    <col min="7" max="7" width="6.85546875" style="5" customWidth="1"/>
    <col min="8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4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15</v>
      </c>
      <c r="B6" s="10" t="s">
        <v>16</v>
      </c>
      <c r="C6" s="10" t="s">
        <v>17</v>
      </c>
      <c r="D6" s="10" t="str">
        <f>"0,7979"</f>
        <v>0,7979</v>
      </c>
      <c r="E6" s="9" t="s">
        <v>18</v>
      </c>
      <c r="F6" s="9" t="s">
        <v>19</v>
      </c>
      <c r="G6" s="10" t="s">
        <v>20</v>
      </c>
      <c r="H6" s="10" t="s">
        <v>21</v>
      </c>
      <c r="I6" s="10" t="s">
        <v>22</v>
      </c>
      <c r="J6" s="11"/>
      <c r="K6" s="9" t="str">
        <f>"165,0"</f>
        <v>165,0</v>
      </c>
      <c r="L6" s="10" t="str">
        <f>"131,6535"</f>
        <v>131,6535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9" t="s">
        <v>25</v>
      </c>
      <c r="B9" s="10" t="s">
        <v>26</v>
      </c>
      <c r="C9" s="10" t="s">
        <v>27</v>
      </c>
      <c r="D9" s="10" t="str">
        <f>"0,5630"</f>
        <v>0,5630</v>
      </c>
      <c r="E9" s="9" t="s">
        <v>28</v>
      </c>
      <c r="F9" s="9" t="s">
        <v>29</v>
      </c>
      <c r="G9" s="10" t="s">
        <v>30</v>
      </c>
      <c r="H9" s="10" t="s">
        <v>31</v>
      </c>
      <c r="I9" s="10" t="s">
        <v>32</v>
      </c>
      <c r="J9" s="11"/>
      <c r="K9" s="9" t="str">
        <f>"260,0"</f>
        <v>260,0</v>
      </c>
      <c r="L9" s="10" t="str">
        <f>"146,3800"</f>
        <v>146,3800</v>
      </c>
      <c r="M9" s="9"/>
    </row>
    <row r="11" spans="1:13" ht="15">
      <c r="A11" s="56" t="s">
        <v>33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>
      <c r="A12" s="9" t="s">
        <v>35</v>
      </c>
      <c r="B12" s="10" t="s">
        <v>36</v>
      </c>
      <c r="C12" s="10" t="s">
        <v>37</v>
      </c>
      <c r="D12" s="10" t="str">
        <f>"0,5401"</f>
        <v>0,5401</v>
      </c>
      <c r="E12" s="9" t="s">
        <v>28</v>
      </c>
      <c r="F12" s="9" t="s">
        <v>38</v>
      </c>
      <c r="G12" s="10" t="s">
        <v>39</v>
      </c>
      <c r="H12" s="10" t="s">
        <v>40</v>
      </c>
      <c r="I12" s="10" t="s">
        <v>41</v>
      </c>
      <c r="J12" s="11"/>
      <c r="K12" s="9" t="str">
        <f>"230,0"</f>
        <v>230,0</v>
      </c>
      <c r="L12" s="10" t="str">
        <f>"124,2230"</f>
        <v>124,2230</v>
      </c>
      <c r="M12" s="9"/>
    </row>
    <row r="14" spans="1:13" ht="15">
      <c r="A14" s="56" t="s">
        <v>42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>
      <c r="A15" s="15" t="s">
        <v>44</v>
      </c>
      <c r="B15" s="12" t="s">
        <v>45</v>
      </c>
      <c r="C15" s="12" t="s">
        <v>46</v>
      </c>
      <c r="D15" s="12" t="str">
        <f>"0,5235"</f>
        <v>0,5235</v>
      </c>
      <c r="E15" s="15" t="s">
        <v>28</v>
      </c>
      <c r="F15" s="15" t="s">
        <v>47</v>
      </c>
      <c r="G15" s="12" t="s">
        <v>31</v>
      </c>
      <c r="H15" s="12" t="s">
        <v>48</v>
      </c>
      <c r="I15" s="16" t="s">
        <v>49</v>
      </c>
      <c r="J15" s="16"/>
      <c r="K15" s="15" t="str">
        <f>"270,0"</f>
        <v>270,0</v>
      </c>
      <c r="L15" s="12" t="str">
        <f>"141,3450"</f>
        <v>141,3450</v>
      </c>
      <c r="M15" s="15"/>
    </row>
    <row r="16" spans="1:13">
      <c r="A16" s="17" t="s">
        <v>51</v>
      </c>
      <c r="B16" s="13" t="s">
        <v>52</v>
      </c>
      <c r="C16" s="13" t="s">
        <v>53</v>
      </c>
      <c r="D16" s="13" t="str">
        <f>"0,5283"</f>
        <v>0,5283</v>
      </c>
      <c r="E16" s="17" t="s">
        <v>28</v>
      </c>
      <c r="F16" s="17" t="s">
        <v>54</v>
      </c>
      <c r="G16" s="13" t="s">
        <v>55</v>
      </c>
      <c r="H16" s="13" t="s">
        <v>56</v>
      </c>
      <c r="I16" s="13" t="s">
        <v>48</v>
      </c>
      <c r="J16" s="18"/>
      <c r="K16" s="17" t="str">
        <f>"270,0"</f>
        <v>270,0</v>
      </c>
      <c r="L16" s="13" t="str">
        <f>"142,6410"</f>
        <v>142,6410</v>
      </c>
      <c r="M16" s="17"/>
    </row>
    <row r="17" spans="1:13">
      <c r="A17" s="17" t="s">
        <v>58</v>
      </c>
      <c r="B17" s="13" t="s">
        <v>59</v>
      </c>
      <c r="C17" s="13" t="s">
        <v>60</v>
      </c>
      <c r="D17" s="13" t="str">
        <f>"0,5256"</f>
        <v>0,5256</v>
      </c>
      <c r="E17" s="17" t="s">
        <v>28</v>
      </c>
      <c r="F17" s="17" t="s">
        <v>19</v>
      </c>
      <c r="G17" s="13" t="s">
        <v>32</v>
      </c>
      <c r="H17" s="18" t="s">
        <v>61</v>
      </c>
      <c r="I17" s="18" t="s">
        <v>61</v>
      </c>
      <c r="J17" s="18"/>
      <c r="K17" s="17" t="str">
        <f>"260,0"</f>
        <v>260,0</v>
      </c>
      <c r="L17" s="13" t="str">
        <f>"136,6560"</f>
        <v>136,6560</v>
      </c>
      <c r="M17" s="17"/>
    </row>
    <row r="18" spans="1:13">
      <c r="A18" s="19" t="s">
        <v>63</v>
      </c>
      <c r="B18" s="14" t="s">
        <v>64</v>
      </c>
      <c r="C18" s="14" t="s">
        <v>65</v>
      </c>
      <c r="D18" s="14" t="str">
        <f>"0,5237"</f>
        <v>0,5237</v>
      </c>
      <c r="E18" s="19" t="s">
        <v>28</v>
      </c>
      <c r="F18" s="19" t="s">
        <v>66</v>
      </c>
      <c r="G18" s="14" t="s">
        <v>31</v>
      </c>
      <c r="H18" s="14" t="s">
        <v>67</v>
      </c>
      <c r="I18" s="20" t="s">
        <v>68</v>
      </c>
      <c r="J18" s="20"/>
      <c r="K18" s="19" t="str">
        <f>"265,0"</f>
        <v>265,0</v>
      </c>
      <c r="L18" s="14" t="str">
        <f>"191,5171"</f>
        <v>191,5171</v>
      </c>
      <c r="M18" s="19"/>
    </row>
    <row r="20" spans="1:13" ht="15">
      <c r="E20" s="21" t="s">
        <v>69</v>
      </c>
    </row>
    <row r="21" spans="1:13" ht="15">
      <c r="E21" s="21" t="s">
        <v>70</v>
      </c>
    </row>
    <row r="22" spans="1:13" ht="15">
      <c r="E22" s="21" t="s">
        <v>71</v>
      </c>
    </row>
    <row r="23" spans="1:13">
      <c r="E23" s="4" t="s">
        <v>72</v>
      </c>
    </row>
    <row r="24" spans="1:13">
      <c r="E24" s="4" t="s">
        <v>73</v>
      </c>
    </row>
    <row r="25" spans="1:13">
      <c r="E25" s="4" t="s">
        <v>74</v>
      </c>
    </row>
    <row r="28" spans="1:13" ht="18">
      <c r="A28" s="22" t="s">
        <v>75</v>
      </c>
      <c r="B28" s="23"/>
    </row>
    <row r="29" spans="1:13" ht="15">
      <c r="A29" s="24" t="s">
        <v>76</v>
      </c>
      <c r="B29" s="25"/>
    </row>
    <row r="30" spans="1:13" ht="14.25">
      <c r="A30" s="27"/>
      <c r="B30" s="28" t="s">
        <v>77</v>
      </c>
    </row>
    <row r="31" spans="1:13" ht="15">
      <c r="A31" s="29" t="s">
        <v>0</v>
      </c>
      <c r="B31" s="29" t="s">
        <v>78</v>
      </c>
      <c r="C31" s="29" t="s">
        <v>79</v>
      </c>
      <c r="D31" s="29" t="s">
        <v>80</v>
      </c>
      <c r="E31" s="29" t="s">
        <v>11</v>
      </c>
    </row>
    <row r="32" spans="1:13">
      <c r="A32" s="26" t="s">
        <v>14</v>
      </c>
      <c r="B32" s="5" t="s">
        <v>77</v>
      </c>
      <c r="C32" s="5" t="s">
        <v>81</v>
      </c>
      <c r="D32" s="5" t="s">
        <v>22</v>
      </c>
      <c r="E32" s="30" t="s">
        <v>82</v>
      </c>
    </row>
    <row r="35" spans="1:5" ht="15">
      <c r="A35" s="24" t="s">
        <v>83</v>
      </c>
      <c r="B35" s="25"/>
    </row>
    <row r="36" spans="1:5" ht="14.25">
      <c r="A36" s="27"/>
      <c r="B36" s="28" t="s">
        <v>84</v>
      </c>
    </row>
    <row r="37" spans="1:5" ht="15">
      <c r="A37" s="29" t="s">
        <v>0</v>
      </c>
      <c r="B37" s="29" t="s">
        <v>78</v>
      </c>
      <c r="C37" s="29" t="s">
        <v>79</v>
      </c>
      <c r="D37" s="29" t="s">
        <v>80</v>
      </c>
      <c r="E37" s="29" t="s">
        <v>11</v>
      </c>
    </row>
    <row r="38" spans="1:5">
      <c r="A38" s="26" t="s">
        <v>43</v>
      </c>
      <c r="B38" s="5" t="s">
        <v>85</v>
      </c>
      <c r="C38" s="5" t="s">
        <v>86</v>
      </c>
      <c r="D38" s="5" t="s">
        <v>68</v>
      </c>
      <c r="E38" s="30" t="s">
        <v>87</v>
      </c>
    </row>
    <row r="40" spans="1:5" ht="14.25">
      <c r="A40" s="27"/>
      <c r="B40" s="28" t="s">
        <v>77</v>
      </c>
    </row>
    <row r="41" spans="1:5" ht="15">
      <c r="A41" s="29" t="s">
        <v>0</v>
      </c>
      <c r="B41" s="29" t="s">
        <v>78</v>
      </c>
      <c r="C41" s="29" t="s">
        <v>79</v>
      </c>
      <c r="D41" s="29" t="s">
        <v>80</v>
      </c>
      <c r="E41" s="29" t="s">
        <v>11</v>
      </c>
    </row>
    <row r="42" spans="1:5">
      <c r="A42" s="26" t="s">
        <v>24</v>
      </c>
      <c r="B42" s="5" t="s">
        <v>77</v>
      </c>
      <c r="C42" s="5" t="s">
        <v>88</v>
      </c>
      <c r="D42" s="5" t="s">
        <v>89</v>
      </c>
      <c r="E42" s="30" t="s">
        <v>90</v>
      </c>
    </row>
    <row r="43" spans="1:5">
      <c r="A43" s="26" t="s">
        <v>50</v>
      </c>
      <c r="B43" s="5" t="s">
        <v>77</v>
      </c>
      <c r="C43" s="5" t="s">
        <v>86</v>
      </c>
      <c r="D43" s="5" t="s">
        <v>68</v>
      </c>
      <c r="E43" s="30" t="s">
        <v>91</v>
      </c>
    </row>
    <row r="44" spans="1:5">
      <c r="A44" s="26" t="s">
        <v>57</v>
      </c>
      <c r="B44" s="5" t="s">
        <v>77</v>
      </c>
      <c r="C44" s="5" t="s">
        <v>86</v>
      </c>
      <c r="D44" s="5" t="s">
        <v>89</v>
      </c>
      <c r="E44" s="30" t="s">
        <v>92</v>
      </c>
    </row>
    <row r="45" spans="1:5">
      <c r="A45" s="26" t="s">
        <v>34</v>
      </c>
      <c r="B45" s="5" t="s">
        <v>77</v>
      </c>
      <c r="C45" s="5" t="s">
        <v>93</v>
      </c>
      <c r="D45" s="5" t="s">
        <v>94</v>
      </c>
      <c r="E45" s="30" t="s">
        <v>95</v>
      </c>
    </row>
    <row r="47" spans="1:5" ht="14.25">
      <c r="A47" s="27"/>
      <c r="B47" s="28" t="s">
        <v>96</v>
      </c>
    </row>
    <row r="48" spans="1:5" ht="15">
      <c r="A48" s="29" t="s">
        <v>0</v>
      </c>
      <c r="B48" s="29" t="s">
        <v>78</v>
      </c>
      <c r="C48" s="29" t="s">
        <v>79</v>
      </c>
      <c r="D48" s="29" t="s">
        <v>80</v>
      </c>
      <c r="E48" s="29" t="s">
        <v>11</v>
      </c>
    </row>
    <row r="49" spans="1:5">
      <c r="A49" s="26" t="s">
        <v>62</v>
      </c>
      <c r="B49" s="5" t="s">
        <v>97</v>
      </c>
      <c r="C49" s="5" t="s">
        <v>86</v>
      </c>
      <c r="D49" s="5" t="s">
        <v>98</v>
      </c>
      <c r="E49" s="30" t="s">
        <v>99</v>
      </c>
    </row>
  </sheetData>
  <mergeCells count="15">
    <mergeCell ref="A5:L5"/>
    <mergeCell ref="A8:L8"/>
    <mergeCell ref="A11:L11"/>
    <mergeCell ref="A14:L14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9.7109375" style="4" bestFit="1" customWidth="1"/>
    <col min="7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342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774</v>
      </c>
      <c r="B6" s="10" t="s">
        <v>775</v>
      </c>
      <c r="C6" s="10" t="s">
        <v>776</v>
      </c>
      <c r="D6" s="10" t="str">
        <f>"0,8620"</f>
        <v>0,8620</v>
      </c>
      <c r="E6" s="9" t="s">
        <v>28</v>
      </c>
      <c r="F6" s="9" t="s">
        <v>777</v>
      </c>
      <c r="G6" s="10" t="s">
        <v>261</v>
      </c>
      <c r="H6" s="10" t="s">
        <v>515</v>
      </c>
      <c r="I6" s="11" t="s">
        <v>20</v>
      </c>
      <c r="J6" s="11"/>
      <c r="K6" s="9" t="str">
        <f>"135,0"</f>
        <v>135,0</v>
      </c>
      <c r="L6" s="10" t="str">
        <f>"116,3767"</f>
        <v>116,3767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342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15" t="s">
        <v>1052</v>
      </c>
      <c r="B9" s="12" t="s">
        <v>959</v>
      </c>
      <c r="C9" s="12" t="s">
        <v>960</v>
      </c>
      <c r="D9" s="12" t="str">
        <f>"0,7049"</f>
        <v>0,7049</v>
      </c>
      <c r="E9" s="15" t="s">
        <v>130</v>
      </c>
      <c r="F9" s="15" t="s">
        <v>66</v>
      </c>
      <c r="G9" s="12" t="s">
        <v>192</v>
      </c>
      <c r="H9" s="12" t="s">
        <v>217</v>
      </c>
      <c r="I9" s="12" t="s">
        <v>173</v>
      </c>
      <c r="J9" s="16"/>
      <c r="K9" s="15" t="str">
        <f>"200,0"</f>
        <v>200,0</v>
      </c>
      <c r="L9" s="12" t="str">
        <f>"140,9700"</f>
        <v>140,9700</v>
      </c>
      <c r="M9" s="15"/>
    </row>
    <row r="10" spans="1:13">
      <c r="A10" s="17" t="s">
        <v>1054</v>
      </c>
      <c r="B10" s="13" t="s">
        <v>1055</v>
      </c>
      <c r="C10" s="13" t="s">
        <v>960</v>
      </c>
      <c r="D10" s="13" t="str">
        <f>"0,7049"</f>
        <v>0,7049</v>
      </c>
      <c r="E10" s="17" t="s">
        <v>105</v>
      </c>
      <c r="F10" s="17" t="s">
        <v>106</v>
      </c>
      <c r="G10" s="13" t="s">
        <v>1032</v>
      </c>
      <c r="H10" s="13" t="s">
        <v>300</v>
      </c>
      <c r="I10" s="13" t="s">
        <v>153</v>
      </c>
      <c r="J10" s="18"/>
      <c r="K10" s="17" t="str">
        <f>"182,5"</f>
        <v>182,5</v>
      </c>
      <c r="L10" s="13" t="str">
        <f>"128,6351"</f>
        <v>128,6351</v>
      </c>
      <c r="M10" s="17"/>
    </row>
    <row r="11" spans="1:13">
      <c r="A11" s="17" t="s">
        <v>1056</v>
      </c>
      <c r="B11" s="13" t="s">
        <v>1057</v>
      </c>
      <c r="C11" s="13" t="s">
        <v>1058</v>
      </c>
      <c r="D11" s="13" t="str">
        <f>"0,6947"</f>
        <v>0,6947</v>
      </c>
      <c r="E11" s="17" t="s">
        <v>105</v>
      </c>
      <c r="F11" s="17" t="s">
        <v>106</v>
      </c>
      <c r="G11" s="18" t="s">
        <v>131</v>
      </c>
      <c r="H11" s="18" t="s">
        <v>131</v>
      </c>
      <c r="I11" s="18" t="s">
        <v>131</v>
      </c>
      <c r="J11" s="18"/>
      <c r="K11" s="17" t="str">
        <f>"0.00"</f>
        <v>0.00</v>
      </c>
      <c r="L11" s="13" t="str">
        <f>"0,0000"</f>
        <v>0,0000</v>
      </c>
      <c r="M11" s="17"/>
    </row>
    <row r="12" spans="1:13">
      <c r="A12" s="19" t="s">
        <v>1052</v>
      </c>
      <c r="B12" s="14" t="s">
        <v>1059</v>
      </c>
      <c r="C12" s="14" t="s">
        <v>960</v>
      </c>
      <c r="D12" s="14" t="str">
        <f>"0,7049"</f>
        <v>0,7049</v>
      </c>
      <c r="E12" s="19" t="s">
        <v>130</v>
      </c>
      <c r="F12" s="19" t="s">
        <v>66</v>
      </c>
      <c r="G12" s="14" t="s">
        <v>192</v>
      </c>
      <c r="H12" s="14" t="s">
        <v>217</v>
      </c>
      <c r="I12" s="14" t="s">
        <v>173</v>
      </c>
      <c r="J12" s="20"/>
      <c r="K12" s="19" t="str">
        <f>"200,0"</f>
        <v>200,0</v>
      </c>
      <c r="L12" s="14" t="str">
        <f>"154,6441"</f>
        <v>154,6441</v>
      </c>
      <c r="M12" s="19"/>
    </row>
    <row r="14" spans="1:13" ht="15">
      <c r="A14" s="56" t="s">
        <v>109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3">
      <c r="A15" s="15" t="s">
        <v>548</v>
      </c>
      <c r="B15" s="12" t="s">
        <v>549</v>
      </c>
      <c r="C15" s="12" t="s">
        <v>550</v>
      </c>
      <c r="D15" s="12" t="str">
        <f>"0,6529"</f>
        <v>0,6529</v>
      </c>
      <c r="E15" s="15" t="s">
        <v>190</v>
      </c>
      <c r="F15" s="15" t="s">
        <v>191</v>
      </c>
      <c r="G15" s="12" t="s">
        <v>173</v>
      </c>
      <c r="H15" s="12" t="s">
        <v>174</v>
      </c>
      <c r="I15" s="16" t="s">
        <v>159</v>
      </c>
      <c r="J15" s="16"/>
      <c r="K15" s="15" t="str">
        <f>"210,0"</f>
        <v>210,0</v>
      </c>
      <c r="L15" s="12" t="str">
        <f>"137,1090"</f>
        <v>137,1090</v>
      </c>
      <c r="M15" s="15"/>
    </row>
    <row r="16" spans="1:13">
      <c r="A16" s="17" t="s">
        <v>1060</v>
      </c>
      <c r="B16" s="13" t="s">
        <v>576</v>
      </c>
      <c r="C16" s="13" t="s">
        <v>259</v>
      </c>
      <c r="D16" s="13" t="str">
        <f>"0,6540"</f>
        <v>0,6540</v>
      </c>
      <c r="E16" s="17" t="s">
        <v>190</v>
      </c>
      <c r="F16" s="17" t="s">
        <v>191</v>
      </c>
      <c r="G16" s="13" t="s">
        <v>131</v>
      </c>
      <c r="H16" s="13" t="s">
        <v>20</v>
      </c>
      <c r="I16" s="18" t="s">
        <v>585</v>
      </c>
      <c r="J16" s="18"/>
      <c r="K16" s="17" t="str">
        <f>"140,0"</f>
        <v>140,0</v>
      </c>
      <c r="L16" s="13" t="str">
        <f>"91,5600"</f>
        <v>91,5600</v>
      </c>
      <c r="M16" s="17"/>
    </row>
    <row r="17" spans="1:13">
      <c r="A17" s="19" t="s">
        <v>1062</v>
      </c>
      <c r="B17" s="14" t="s">
        <v>1063</v>
      </c>
      <c r="C17" s="14" t="s">
        <v>569</v>
      </c>
      <c r="D17" s="14" t="str">
        <f>"0,6573"</f>
        <v>0,6573</v>
      </c>
      <c r="E17" s="19" t="s">
        <v>105</v>
      </c>
      <c r="F17" s="19" t="s">
        <v>106</v>
      </c>
      <c r="G17" s="20" t="s">
        <v>131</v>
      </c>
      <c r="H17" s="14" t="s">
        <v>131</v>
      </c>
      <c r="I17" s="20"/>
      <c r="J17" s="20"/>
      <c r="K17" s="19" t="str">
        <f>"130,0"</f>
        <v>130,0</v>
      </c>
      <c r="L17" s="14" t="str">
        <f>"95,1047"</f>
        <v>95,1047</v>
      </c>
      <c r="M17" s="19"/>
    </row>
    <row r="19" spans="1:13" ht="15">
      <c r="A19" s="56" t="s">
        <v>132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>
      <c r="A20" s="15" t="s">
        <v>1064</v>
      </c>
      <c r="B20" s="12" t="s">
        <v>597</v>
      </c>
      <c r="C20" s="12" t="s">
        <v>598</v>
      </c>
      <c r="D20" s="12" t="str">
        <f>"0,6173"</f>
        <v>0,6173</v>
      </c>
      <c r="E20" s="15" t="s">
        <v>28</v>
      </c>
      <c r="F20" s="15" t="s">
        <v>19</v>
      </c>
      <c r="G20" s="12" t="s">
        <v>276</v>
      </c>
      <c r="H20" s="16" t="s">
        <v>1065</v>
      </c>
      <c r="I20" s="16" t="s">
        <v>1065</v>
      </c>
      <c r="J20" s="16"/>
      <c r="K20" s="15" t="str">
        <f>"235,0"</f>
        <v>235,0</v>
      </c>
      <c r="L20" s="12" t="str">
        <f>"145,0655"</f>
        <v>145,0655</v>
      </c>
      <c r="M20" s="15"/>
    </row>
    <row r="21" spans="1:13">
      <c r="A21" s="19" t="s">
        <v>1066</v>
      </c>
      <c r="B21" s="14" t="s">
        <v>549</v>
      </c>
      <c r="C21" s="14" t="s">
        <v>602</v>
      </c>
      <c r="D21" s="14" t="str">
        <f>"0,6217"</f>
        <v>0,6217</v>
      </c>
      <c r="E21" s="19" t="s">
        <v>190</v>
      </c>
      <c r="F21" s="19" t="s">
        <v>191</v>
      </c>
      <c r="G21" s="20" t="s">
        <v>192</v>
      </c>
      <c r="H21" s="14" t="s">
        <v>192</v>
      </c>
      <c r="I21" s="14" t="s">
        <v>193</v>
      </c>
      <c r="J21" s="20"/>
      <c r="K21" s="19" t="str">
        <f>"185,0"</f>
        <v>185,0</v>
      </c>
      <c r="L21" s="14" t="str">
        <f>"115,0237"</f>
        <v>115,0237</v>
      </c>
      <c r="M21" s="19"/>
    </row>
    <row r="23" spans="1:13" ht="15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3">
      <c r="A24" s="9" t="s">
        <v>1068</v>
      </c>
      <c r="B24" s="10" t="s">
        <v>1069</v>
      </c>
      <c r="C24" s="10" t="s">
        <v>164</v>
      </c>
      <c r="D24" s="10" t="str">
        <f>"0,5914"</f>
        <v>0,5914</v>
      </c>
      <c r="E24" s="9" t="s">
        <v>28</v>
      </c>
      <c r="F24" s="9" t="s">
        <v>1070</v>
      </c>
      <c r="G24" s="10" t="s">
        <v>41</v>
      </c>
      <c r="H24" s="11" t="s">
        <v>1071</v>
      </c>
      <c r="I24" s="11"/>
      <c r="J24" s="11"/>
      <c r="K24" s="9" t="str">
        <f>"230,0"</f>
        <v>230,0</v>
      </c>
      <c r="L24" s="10" t="str">
        <f>"136,0220"</f>
        <v>136,0220</v>
      </c>
      <c r="M24" s="9"/>
    </row>
    <row r="26" spans="1:13" ht="15">
      <c r="A26" s="56" t="s">
        <v>33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3">
      <c r="A27" s="9" t="s">
        <v>1073</v>
      </c>
      <c r="B27" s="10" t="s">
        <v>1074</v>
      </c>
      <c r="C27" s="10" t="s">
        <v>1075</v>
      </c>
      <c r="D27" s="10" t="str">
        <f>"0,5687"</f>
        <v>0,5687</v>
      </c>
      <c r="E27" s="9" t="s">
        <v>28</v>
      </c>
      <c r="F27" s="9" t="s">
        <v>19</v>
      </c>
      <c r="G27" s="10" t="s">
        <v>30</v>
      </c>
      <c r="H27" s="10" t="s">
        <v>31</v>
      </c>
      <c r="I27" s="11" t="s">
        <v>89</v>
      </c>
      <c r="J27" s="11"/>
      <c r="K27" s="9" t="str">
        <f>"250,0"</f>
        <v>250,0</v>
      </c>
      <c r="L27" s="10" t="str">
        <f>"142,1625"</f>
        <v>142,1625</v>
      </c>
      <c r="M27" s="9"/>
    </row>
    <row r="29" spans="1:13" ht="15">
      <c r="A29" s="56" t="s">
        <v>705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3">
      <c r="A30" s="9" t="s">
        <v>1077</v>
      </c>
      <c r="B30" s="10" t="s">
        <v>1078</v>
      </c>
      <c r="C30" s="10" t="s">
        <v>1079</v>
      </c>
      <c r="D30" s="10" t="str">
        <f>"0,5415"</f>
        <v>0,5415</v>
      </c>
      <c r="E30" s="9" t="s">
        <v>28</v>
      </c>
      <c r="F30" s="9" t="s">
        <v>19</v>
      </c>
      <c r="G30" s="10" t="s">
        <v>1080</v>
      </c>
      <c r="H30" s="10" t="s">
        <v>1081</v>
      </c>
      <c r="I30" s="11" t="s">
        <v>420</v>
      </c>
      <c r="J30" s="11"/>
      <c r="K30" s="9" t="str">
        <f>"295,0"</f>
        <v>295,0</v>
      </c>
      <c r="L30" s="10" t="str">
        <f>"159,7396"</f>
        <v>159,7396</v>
      </c>
      <c r="M30" s="9"/>
    </row>
    <row r="32" spans="1:13" ht="15">
      <c r="E32" s="21" t="s">
        <v>69</v>
      </c>
    </row>
    <row r="33" spans="1:5" ht="15">
      <c r="E33" s="21" t="s">
        <v>70</v>
      </c>
    </row>
    <row r="34" spans="1:5" ht="15">
      <c r="E34" s="21" t="s">
        <v>71</v>
      </c>
    </row>
    <row r="35" spans="1:5">
      <c r="E35" s="4" t="s">
        <v>72</v>
      </c>
    </row>
    <row r="36" spans="1:5">
      <c r="E36" s="4" t="s">
        <v>73</v>
      </c>
    </row>
    <row r="37" spans="1:5">
      <c r="E37" s="4" t="s">
        <v>74</v>
      </c>
    </row>
    <row r="40" spans="1:5" ht="18">
      <c r="A40" s="22" t="s">
        <v>75</v>
      </c>
      <c r="B40" s="23"/>
    </row>
    <row r="41" spans="1:5" ht="15">
      <c r="A41" s="24" t="s">
        <v>76</v>
      </c>
      <c r="B41" s="25"/>
    </row>
    <row r="42" spans="1:5" ht="14.25">
      <c r="A42" s="27"/>
      <c r="B42" s="28" t="s">
        <v>77</v>
      </c>
    </row>
    <row r="43" spans="1:5" ht="15">
      <c r="A43" s="29" t="s">
        <v>0</v>
      </c>
      <c r="B43" s="29" t="s">
        <v>78</v>
      </c>
      <c r="C43" s="29" t="s">
        <v>79</v>
      </c>
      <c r="D43" s="29" t="s">
        <v>80</v>
      </c>
      <c r="E43" s="29" t="s">
        <v>932</v>
      </c>
    </row>
    <row r="44" spans="1:5">
      <c r="A44" s="26" t="s">
        <v>773</v>
      </c>
      <c r="B44" s="5" t="s">
        <v>77</v>
      </c>
      <c r="C44" s="5" t="s">
        <v>432</v>
      </c>
      <c r="D44" s="5" t="s">
        <v>537</v>
      </c>
      <c r="E44" s="30" t="s">
        <v>1082</v>
      </c>
    </row>
    <row r="47" spans="1:5" ht="15">
      <c r="A47" s="24" t="s">
        <v>83</v>
      </c>
      <c r="B47" s="25"/>
    </row>
    <row r="48" spans="1:5" ht="14.25">
      <c r="A48" s="27"/>
      <c r="B48" s="28" t="s">
        <v>84</v>
      </c>
    </row>
    <row r="49" spans="1:5" ht="15">
      <c r="A49" s="29" t="s">
        <v>0</v>
      </c>
      <c r="B49" s="29" t="s">
        <v>78</v>
      </c>
      <c r="C49" s="29" t="s">
        <v>79</v>
      </c>
      <c r="D49" s="29" t="s">
        <v>80</v>
      </c>
      <c r="E49" s="29" t="s">
        <v>932</v>
      </c>
    </row>
    <row r="50" spans="1:5">
      <c r="A50" s="26" t="s">
        <v>1076</v>
      </c>
      <c r="B50" s="5" t="s">
        <v>85</v>
      </c>
      <c r="C50" s="5" t="s">
        <v>755</v>
      </c>
      <c r="D50" s="5" t="s">
        <v>1083</v>
      </c>
      <c r="E50" s="30" t="s">
        <v>1084</v>
      </c>
    </row>
    <row r="52" spans="1:5" ht="14.25">
      <c r="A52" s="27"/>
      <c r="B52" s="28" t="s">
        <v>77</v>
      </c>
    </row>
    <row r="53" spans="1:5" ht="15">
      <c r="A53" s="29" t="s">
        <v>0</v>
      </c>
      <c r="B53" s="29" t="s">
        <v>78</v>
      </c>
      <c r="C53" s="29" t="s">
        <v>79</v>
      </c>
      <c r="D53" s="29" t="s">
        <v>80</v>
      </c>
      <c r="E53" s="29" t="s">
        <v>932</v>
      </c>
    </row>
    <row r="54" spans="1:5">
      <c r="A54" s="26" t="s">
        <v>595</v>
      </c>
      <c r="B54" s="5" t="s">
        <v>77</v>
      </c>
      <c r="C54" s="5" t="s">
        <v>214</v>
      </c>
      <c r="D54" s="5" t="s">
        <v>247</v>
      </c>
      <c r="E54" s="30" t="s">
        <v>1085</v>
      </c>
    </row>
    <row r="55" spans="1:5">
      <c r="A55" s="26" t="s">
        <v>1072</v>
      </c>
      <c r="B55" s="5" t="s">
        <v>77</v>
      </c>
      <c r="C55" s="5" t="s">
        <v>93</v>
      </c>
      <c r="D55" s="5" t="s">
        <v>248</v>
      </c>
      <c r="E55" s="30" t="s">
        <v>1086</v>
      </c>
    </row>
    <row r="56" spans="1:5">
      <c r="A56" s="26" t="s">
        <v>957</v>
      </c>
      <c r="B56" s="5" t="s">
        <v>77</v>
      </c>
      <c r="C56" s="5" t="s">
        <v>432</v>
      </c>
      <c r="D56" s="5" t="s">
        <v>173</v>
      </c>
      <c r="E56" s="30" t="s">
        <v>1087</v>
      </c>
    </row>
    <row r="57" spans="1:5">
      <c r="A57" s="26" t="s">
        <v>547</v>
      </c>
      <c r="B57" s="5" t="s">
        <v>77</v>
      </c>
      <c r="C57" s="5" t="s">
        <v>221</v>
      </c>
      <c r="D57" s="5" t="s">
        <v>174</v>
      </c>
      <c r="E57" s="30" t="s">
        <v>1088</v>
      </c>
    </row>
    <row r="58" spans="1:5">
      <c r="A58" s="26" t="s">
        <v>1067</v>
      </c>
      <c r="B58" s="5" t="s">
        <v>77</v>
      </c>
      <c r="C58" s="5" t="s">
        <v>88</v>
      </c>
      <c r="D58" s="5" t="s">
        <v>94</v>
      </c>
      <c r="E58" s="30" t="s">
        <v>1089</v>
      </c>
    </row>
    <row r="59" spans="1:5">
      <c r="A59" s="26" t="s">
        <v>1053</v>
      </c>
      <c r="B59" s="5" t="s">
        <v>77</v>
      </c>
      <c r="C59" s="5" t="s">
        <v>432</v>
      </c>
      <c r="D59" s="5" t="s">
        <v>153</v>
      </c>
      <c r="E59" s="30" t="s">
        <v>1090</v>
      </c>
    </row>
    <row r="60" spans="1:5">
      <c r="A60" s="26" t="s">
        <v>600</v>
      </c>
      <c r="B60" s="5" t="s">
        <v>77</v>
      </c>
      <c r="C60" s="5" t="s">
        <v>214</v>
      </c>
      <c r="D60" s="5" t="s">
        <v>193</v>
      </c>
      <c r="E60" s="30" t="s">
        <v>1091</v>
      </c>
    </row>
    <row r="61" spans="1:5">
      <c r="A61" s="26" t="s">
        <v>574</v>
      </c>
      <c r="B61" s="5" t="s">
        <v>77</v>
      </c>
      <c r="C61" s="5" t="s">
        <v>221</v>
      </c>
      <c r="D61" s="5" t="s">
        <v>20</v>
      </c>
      <c r="E61" s="30" t="s">
        <v>1092</v>
      </c>
    </row>
    <row r="63" spans="1:5" ht="14.25">
      <c r="A63" s="27"/>
      <c r="B63" s="28" t="s">
        <v>96</v>
      </c>
    </row>
    <row r="64" spans="1:5" ht="15">
      <c r="A64" s="29" t="s">
        <v>0</v>
      </c>
      <c r="B64" s="29" t="s">
        <v>78</v>
      </c>
      <c r="C64" s="29" t="s">
        <v>79</v>
      </c>
      <c r="D64" s="29" t="s">
        <v>80</v>
      </c>
      <c r="E64" s="29" t="s">
        <v>932</v>
      </c>
    </row>
    <row r="65" spans="1:5">
      <c r="A65" s="26" t="s">
        <v>957</v>
      </c>
      <c r="B65" s="5" t="s">
        <v>230</v>
      </c>
      <c r="C65" s="5" t="s">
        <v>432</v>
      </c>
      <c r="D65" s="5" t="s">
        <v>173</v>
      </c>
      <c r="E65" s="30" t="s">
        <v>1093</v>
      </c>
    </row>
    <row r="66" spans="1:5">
      <c r="A66" s="26" t="s">
        <v>1061</v>
      </c>
      <c r="B66" s="5" t="s">
        <v>230</v>
      </c>
      <c r="C66" s="5" t="s">
        <v>221</v>
      </c>
      <c r="D66" s="5" t="s">
        <v>131</v>
      </c>
      <c r="E66" s="30" t="s">
        <v>1094</v>
      </c>
    </row>
  </sheetData>
  <mergeCells count="18">
    <mergeCell ref="A19:L19"/>
    <mergeCell ref="A23:L23"/>
    <mergeCell ref="A26:L26"/>
    <mergeCell ref="A29:L29"/>
    <mergeCell ref="K3:K4"/>
    <mergeCell ref="L3:L4"/>
    <mergeCell ref="M3:M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8.14062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102</v>
      </c>
      <c r="B6" s="10" t="s">
        <v>103</v>
      </c>
      <c r="C6" s="10" t="s">
        <v>104</v>
      </c>
      <c r="D6" s="10" t="str">
        <f>"0,7561"</f>
        <v>0,7561</v>
      </c>
      <c r="E6" s="9" t="s">
        <v>105</v>
      </c>
      <c r="F6" s="9" t="s">
        <v>106</v>
      </c>
      <c r="G6" s="10" t="s">
        <v>1032</v>
      </c>
      <c r="H6" s="11" t="s">
        <v>599</v>
      </c>
      <c r="I6" s="10" t="s">
        <v>599</v>
      </c>
      <c r="J6" s="11"/>
      <c r="K6" s="9" t="str">
        <f>"167,5"</f>
        <v>167,5</v>
      </c>
      <c r="L6" s="10" t="str">
        <f>"126,6467"</f>
        <v>126,6467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56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15" t="s">
        <v>1034</v>
      </c>
      <c r="B9" s="12" t="s">
        <v>1035</v>
      </c>
      <c r="C9" s="12" t="s">
        <v>1036</v>
      </c>
      <c r="D9" s="12" t="str">
        <f>"0,5843"</f>
        <v>0,5843</v>
      </c>
      <c r="E9" s="15" t="s">
        <v>28</v>
      </c>
      <c r="F9" s="15" t="s">
        <v>1037</v>
      </c>
      <c r="G9" s="16" t="s">
        <v>89</v>
      </c>
      <c r="H9" s="12" t="s">
        <v>89</v>
      </c>
      <c r="I9" s="16" t="s">
        <v>61</v>
      </c>
      <c r="J9" s="16"/>
      <c r="K9" s="15" t="str">
        <f>"260,0"</f>
        <v>260,0</v>
      </c>
      <c r="L9" s="12" t="str">
        <f>"151,9180"</f>
        <v>151,9180</v>
      </c>
      <c r="M9" s="15"/>
    </row>
    <row r="10" spans="1:13">
      <c r="A10" s="19" t="s">
        <v>1039</v>
      </c>
      <c r="B10" s="14" t="s">
        <v>1040</v>
      </c>
      <c r="C10" s="14" t="s">
        <v>280</v>
      </c>
      <c r="D10" s="14" t="str">
        <f>"0,5871"</f>
        <v>0,5871</v>
      </c>
      <c r="E10" s="19" t="s">
        <v>105</v>
      </c>
      <c r="F10" s="19" t="s">
        <v>106</v>
      </c>
      <c r="G10" s="20" t="s">
        <v>89</v>
      </c>
      <c r="H10" s="14" t="s">
        <v>89</v>
      </c>
      <c r="I10" s="20" t="s">
        <v>68</v>
      </c>
      <c r="J10" s="20"/>
      <c r="K10" s="19" t="str">
        <f>"260,0"</f>
        <v>260,0</v>
      </c>
      <c r="L10" s="14" t="str">
        <f>"155,7122"</f>
        <v>155,7122</v>
      </c>
      <c r="M10" s="19"/>
    </row>
    <row r="12" spans="1:13" ht="15">
      <c r="A12" s="56" t="s">
        <v>33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3">
      <c r="A13" s="15" t="s">
        <v>244</v>
      </c>
      <c r="B13" s="12" t="s">
        <v>245</v>
      </c>
      <c r="C13" s="12" t="s">
        <v>246</v>
      </c>
      <c r="D13" s="12" t="str">
        <f>"0,5678"</f>
        <v>0,5678</v>
      </c>
      <c r="E13" s="15" t="s">
        <v>28</v>
      </c>
      <c r="F13" s="15" t="s">
        <v>19</v>
      </c>
      <c r="G13" s="12" t="s">
        <v>276</v>
      </c>
      <c r="H13" s="12" t="s">
        <v>31</v>
      </c>
      <c r="I13" s="16" t="s">
        <v>89</v>
      </c>
      <c r="J13" s="16"/>
      <c r="K13" s="15" t="str">
        <f>"250,0"</f>
        <v>250,0</v>
      </c>
      <c r="L13" s="12" t="str">
        <f>"141,9500"</f>
        <v>141,9500</v>
      </c>
      <c r="M13" s="15"/>
    </row>
    <row r="14" spans="1:13">
      <c r="A14" s="19" t="s">
        <v>1041</v>
      </c>
      <c r="B14" s="14" t="s">
        <v>188</v>
      </c>
      <c r="C14" s="14" t="s">
        <v>189</v>
      </c>
      <c r="D14" s="14" t="str">
        <f>"0,5635"</f>
        <v>0,5635</v>
      </c>
      <c r="E14" s="19" t="s">
        <v>190</v>
      </c>
      <c r="F14" s="19" t="s">
        <v>191</v>
      </c>
      <c r="G14" s="14" t="s">
        <v>174</v>
      </c>
      <c r="H14" s="14" t="s">
        <v>159</v>
      </c>
      <c r="I14" s="20" t="s">
        <v>201</v>
      </c>
      <c r="J14" s="20"/>
      <c r="K14" s="19" t="str">
        <f>"220,0"</f>
        <v>220,0</v>
      </c>
      <c r="L14" s="14" t="str">
        <f>"134,1355"</f>
        <v>134,1355</v>
      </c>
      <c r="M14" s="19"/>
    </row>
    <row r="16" spans="1:13" ht="15">
      <c r="A16" s="56" t="s">
        <v>42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3">
      <c r="A17" s="9" t="s">
        <v>1043</v>
      </c>
      <c r="B17" s="10" t="s">
        <v>1044</v>
      </c>
      <c r="C17" s="10" t="s">
        <v>1045</v>
      </c>
      <c r="D17" s="10" t="str">
        <f>"0,5490"</f>
        <v>0,5490</v>
      </c>
      <c r="E17" s="9" t="s">
        <v>28</v>
      </c>
      <c r="F17" s="9" t="s">
        <v>1037</v>
      </c>
      <c r="G17" s="10" t="s">
        <v>286</v>
      </c>
      <c r="H17" s="10" t="s">
        <v>281</v>
      </c>
      <c r="I17" s="10" t="s">
        <v>888</v>
      </c>
      <c r="J17" s="11"/>
      <c r="K17" s="9" t="str">
        <f>"310,0"</f>
        <v>310,0</v>
      </c>
      <c r="L17" s="10" t="str">
        <f>"170,1745"</f>
        <v>170,1745</v>
      </c>
      <c r="M17" s="9"/>
    </row>
    <row r="19" spans="1:13" ht="15">
      <c r="E19" s="21" t="s">
        <v>69</v>
      </c>
    </row>
    <row r="20" spans="1:13" ht="15">
      <c r="E20" s="21" t="s">
        <v>70</v>
      </c>
    </row>
    <row r="21" spans="1:13" ht="15">
      <c r="E21" s="21" t="s">
        <v>71</v>
      </c>
    </row>
    <row r="22" spans="1:13">
      <c r="E22" s="4" t="s">
        <v>72</v>
      </c>
    </row>
    <row r="23" spans="1:13">
      <c r="E23" s="4" t="s">
        <v>73</v>
      </c>
    </row>
    <row r="24" spans="1:13">
      <c r="E24" s="4" t="s">
        <v>74</v>
      </c>
    </row>
    <row r="27" spans="1:13" ht="18">
      <c r="A27" s="22" t="s">
        <v>75</v>
      </c>
      <c r="B27" s="23"/>
    </row>
    <row r="28" spans="1:13" ht="15">
      <c r="A28" s="24" t="s">
        <v>83</v>
      </c>
      <c r="B28" s="25"/>
    </row>
    <row r="29" spans="1:13" ht="14.25">
      <c r="A29" s="27"/>
      <c r="B29" s="28" t="s">
        <v>77</v>
      </c>
    </row>
    <row r="30" spans="1:13" ht="15">
      <c r="A30" s="29" t="s">
        <v>0</v>
      </c>
      <c r="B30" s="29" t="s">
        <v>78</v>
      </c>
      <c r="C30" s="29" t="s">
        <v>79</v>
      </c>
      <c r="D30" s="29" t="s">
        <v>80</v>
      </c>
      <c r="E30" s="29" t="s">
        <v>932</v>
      </c>
    </row>
    <row r="31" spans="1:13">
      <c r="A31" s="26" t="s">
        <v>1042</v>
      </c>
      <c r="B31" s="5" t="s">
        <v>77</v>
      </c>
      <c r="C31" s="5" t="s">
        <v>86</v>
      </c>
      <c r="D31" s="5" t="s">
        <v>294</v>
      </c>
      <c r="E31" s="30" t="s">
        <v>1046</v>
      </c>
    </row>
    <row r="32" spans="1:13">
      <c r="A32" s="26" t="s">
        <v>1033</v>
      </c>
      <c r="B32" s="5" t="s">
        <v>77</v>
      </c>
      <c r="C32" s="5" t="s">
        <v>88</v>
      </c>
      <c r="D32" s="5" t="s">
        <v>89</v>
      </c>
      <c r="E32" s="30" t="s">
        <v>1047</v>
      </c>
    </row>
    <row r="33" spans="1:5">
      <c r="A33" s="26" t="s">
        <v>243</v>
      </c>
      <c r="B33" s="5" t="s">
        <v>77</v>
      </c>
      <c r="C33" s="5" t="s">
        <v>93</v>
      </c>
      <c r="D33" s="5" t="s">
        <v>248</v>
      </c>
      <c r="E33" s="30" t="s">
        <v>1048</v>
      </c>
    </row>
    <row r="34" spans="1:5">
      <c r="A34" s="26" t="s">
        <v>101</v>
      </c>
      <c r="B34" s="5" t="s">
        <v>77</v>
      </c>
      <c r="C34" s="5" t="s">
        <v>81</v>
      </c>
      <c r="D34" s="5" t="s">
        <v>599</v>
      </c>
      <c r="E34" s="30" t="s">
        <v>1049</v>
      </c>
    </row>
    <row r="36" spans="1:5" ht="14.25">
      <c r="A36" s="27"/>
      <c r="B36" s="28" t="s">
        <v>96</v>
      </c>
    </row>
    <row r="37" spans="1:5" ht="15">
      <c r="A37" s="29" t="s">
        <v>0</v>
      </c>
      <c r="B37" s="29" t="s">
        <v>78</v>
      </c>
      <c r="C37" s="29" t="s">
        <v>79</v>
      </c>
      <c r="D37" s="29" t="s">
        <v>80</v>
      </c>
      <c r="E37" s="29" t="s">
        <v>932</v>
      </c>
    </row>
    <row r="38" spans="1:5">
      <c r="A38" s="26" t="s">
        <v>1038</v>
      </c>
      <c r="B38" s="5" t="s">
        <v>311</v>
      </c>
      <c r="C38" s="5" t="s">
        <v>88</v>
      </c>
      <c r="D38" s="5" t="s">
        <v>89</v>
      </c>
      <c r="E38" s="30" t="s">
        <v>1050</v>
      </c>
    </row>
    <row r="39" spans="1:5">
      <c r="A39" s="26" t="s">
        <v>186</v>
      </c>
      <c r="B39" s="5" t="s">
        <v>230</v>
      </c>
      <c r="C39" s="5" t="s">
        <v>93</v>
      </c>
      <c r="D39" s="5" t="s">
        <v>159</v>
      </c>
      <c r="E39" s="30" t="s">
        <v>1051</v>
      </c>
    </row>
  </sheetData>
  <mergeCells count="15">
    <mergeCell ref="A16:L16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8.140625" style="4" bestFit="1" customWidth="1"/>
    <col min="7" max="7" width="4.5703125" style="5" bestFit="1" customWidth="1"/>
    <col min="8" max="8" width="4.5703125" style="34" bestFit="1" customWidth="1"/>
    <col min="9" max="9" width="6.140625" style="4" bestFit="1" customWidth="1"/>
    <col min="10" max="10" width="8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45" t="s">
        <v>1114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948</v>
      </c>
      <c r="H3" s="39"/>
      <c r="I3" s="37" t="s">
        <v>100</v>
      </c>
      <c r="J3" s="39" t="s">
        <v>6</v>
      </c>
      <c r="K3" s="41" t="s">
        <v>5</v>
      </c>
    </row>
    <row r="4" spans="1:11" s="1" customFormat="1" ht="23.25" customHeight="1" thickBot="1">
      <c r="A4" s="52"/>
      <c r="B4" s="40"/>
      <c r="C4" s="40"/>
      <c r="D4" s="40"/>
      <c r="E4" s="40"/>
      <c r="F4" s="55"/>
      <c r="G4" s="6" t="s">
        <v>949</v>
      </c>
      <c r="H4" s="31" t="s">
        <v>950</v>
      </c>
      <c r="I4" s="38"/>
      <c r="J4" s="40"/>
      <c r="K4" s="42"/>
    </row>
    <row r="5" spans="1:11" s="5" customFormat="1" ht="15">
      <c r="A5" s="43" t="s">
        <v>467</v>
      </c>
      <c r="B5" s="44"/>
      <c r="C5" s="44"/>
      <c r="D5" s="44"/>
      <c r="E5" s="44"/>
      <c r="F5" s="44"/>
      <c r="G5" s="44"/>
      <c r="H5" s="44"/>
      <c r="I5" s="44"/>
      <c r="J5" s="44"/>
      <c r="K5" s="4"/>
    </row>
    <row r="6" spans="1:11" s="5" customFormat="1">
      <c r="A6" s="9" t="s">
        <v>469</v>
      </c>
      <c r="B6" s="10" t="s">
        <v>332</v>
      </c>
      <c r="C6" s="10" t="s">
        <v>470</v>
      </c>
      <c r="D6" s="10" t="str">
        <f>"1,1299"</f>
        <v>1,1299</v>
      </c>
      <c r="E6" s="9" t="s">
        <v>28</v>
      </c>
      <c r="F6" s="9" t="s">
        <v>191</v>
      </c>
      <c r="G6" s="10" t="s">
        <v>478</v>
      </c>
      <c r="H6" s="35" t="s">
        <v>1030</v>
      </c>
      <c r="I6" s="9" t="str">
        <f>"467,5"</f>
        <v>467,5</v>
      </c>
      <c r="J6" s="10" t="str">
        <f>"528,2282"</f>
        <v>528,2282</v>
      </c>
      <c r="K6" s="9"/>
    </row>
    <row r="7" spans="1:11" s="5" customFormat="1">
      <c r="A7" s="4"/>
      <c r="E7" s="4"/>
      <c r="F7" s="4"/>
      <c r="H7" s="34"/>
      <c r="I7" s="4"/>
      <c r="K7" s="4"/>
    </row>
    <row r="8" spans="1:11" ht="15">
      <c r="E8" s="21" t="s">
        <v>69</v>
      </c>
    </row>
    <row r="9" spans="1:11" ht="15">
      <c r="E9" s="21" t="s">
        <v>70</v>
      </c>
    </row>
    <row r="10" spans="1:11" ht="15">
      <c r="E10" s="21" t="s">
        <v>71</v>
      </c>
    </row>
    <row r="11" spans="1:11">
      <c r="E11" s="4" t="s">
        <v>72</v>
      </c>
    </row>
    <row r="12" spans="1:11">
      <c r="E12" s="4" t="s">
        <v>73</v>
      </c>
    </row>
    <row r="13" spans="1:11">
      <c r="E13" s="4" t="s">
        <v>74</v>
      </c>
    </row>
    <row r="16" spans="1:11" ht="18">
      <c r="A16" s="22" t="s">
        <v>75</v>
      </c>
      <c r="B16" s="23"/>
    </row>
    <row r="17" spans="1:5" ht="15">
      <c r="A17" s="24" t="s">
        <v>76</v>
      </c>
      <c r="B17" s="25"/>
    </row>
    <row r="18" spans="1:5" ht="14.25">
      <c r="A18" s="27"/>
      <c r="B18" s="28" t="s">
        <v>84</v>
      </c>
    </row>
    <row r="19" spans="1:5" ht="15">
      <c r="A19" s="29" t="s">
        <v>0</v>
      </c>
      <c r="B19" s="29" t="s">
        <v>78</v>
      </c>
      <c r="C19" s="29" t="s">
        <v>79</v>
      </c>
      <c r="D19" s="29" t="s">
        <v>80</v>
      </c>
      <c r="E19" s="29" t="s">
        <v>932</v>
      </c>
    </row>
    <row r="20" spans="1:5">
      <c r="A20" s="26" t="s">
        <v>468</v>
      </c>
      <c r="B20" s="5" t="s">
        <v>85</v>
      </c>
      <c r="C20" s="5" t="s">
        <v>713</v>
      </c>
      <c r="D20" s="5" t="s">
        <v>926</v>
      </c>
      <c r="E20" s="30" t="s">
        <v>1031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8.140625" style="4" bestFit="1" customWidth="1"/>
    <col min="7" max="7" width="5.5703125" style="5" bestFit="1" customWidth="1"/>
    <col min="8" max="8" width="4.5703125" style="34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45" t="s">
        <v>1115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948</v>
      </c>
      <c r="H3" s="39"/>
      <c r="I3" s="37" t="s">
        <v>100</v>
      </c>
      <c r="J3" s="39" t="s">
        <v>6</v>
      </c>
      <c r="K3" s="41" t="s">
        <v>5</v>
      </c>
    </row>
    <row r="4" spans="1:11" s="1" customFormat="1" ht="23.25" customHeight="1" thickBot="1">
      <c r="A4" s="52"/>
      <c r="B4" s="40"/>
      <c r="C4" s="40"/>
      <c r="D4" s="40"/>
      <c r="E4" s="40"/>
      <c r="F4" s="55"/>
      <c r="G4" s="6" t="s">
        <v>949</v>
      </c>
      <c r="H4" s="31" t="s">
        <v>950</v>
      </c>
      <c r="I4" s="38"/>
      <c r="J4" s="40"/>
      <c r="K4" s="42"/>
    </row>
    <row r="5" spans="1:11" s="5" customFormat="1" ht="1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"/>
    </row>
    <row r="6" spans="1:11" s="5" customFormat="1">
      <c r="A6" s="9" t="s">
        <v>769</v>
      </c>
      <c r="B6" s="10" t="s">
        <v>770</v>
      </c>
      <c r="C6" s="10" t="s">
        <v>771</v>
      </c>
      <c r="D6" s="10" t="str">
        <f>"0,9392"</f>
        <v>0,9392</v>
      </c>
      <c r="E6" s="9" t="s">
        <v>105</v>
      </c>
      <c r="F6" s="9" t="s">
        <v>106</v>
      </c>
      <c r="G6" s="10" t="s">
        <v>465</v>
      </c>
      <c r="H6" s="35" t="s">
        <v>934</v>
      </c>
      <c r="I6" s="9" t="str">
        <f>"1300,0"</f>
        <v>1300,0</v>
      </c>
      <c r="J6" s="10" t="str">
        <f>"1220,9600"</f>
        <v>1220,9600</v>
      </c>
      <c r="K6" s="9"/>
    </row>
    <row r="7" spans="1:11" s="5" customFormat="1">
      <c r="A7" s="4"/>
      <c r="E7" s="4"/>
      <c r="F7" s="4"/>
      <c r="H7" s="34"/>
      <c r="I7" s="4"/>
      <c r="K7" s="4"/>
    </row>
    <row r="8" spans="1:11" ht="15">
      <c r="A8" s="56" t="s">
        <v>342</v>
      </c>
      <c r="B8" s="56"/>
      <c r="C8" s="56"/>
      <c r="D8" s="56"/>
      <c r="E8" s="56"/>
      <c r="F8" s="56"/>
      <c r="G8" s="56"/>
      <c r="H8" s="56"/>
      <c r="I8" s="56"/>
      <c r="J8" s="56"/>
    </row>
    <row r="9" spans="1:11">
      <c r="A9" s="15" t="s">
        <v>952</v>
      </c>
      <c r="B9" s="12" t="s">
        <v>953</v>
      </c>
      <c r="C9" s="12" t="s">
        <v>954</v>
      </c>
      <c r="D9" s="12" t="str">
        <f>"0,7357"</f>
        <v>0,7357</v>
      </c>
      <c r="E9" s="15" t="s">
        <v>28</v>
      </c>
      <c r="F9" s="15" t="s">
        <v>19</v>
      </c>
      <c r="G9" s="12" t="s">
        <v>466</v>
      </c>
      <c r="H9" s="32" t="s">
        <v>955</v>
      </c>
      <c r="I9" s="15" t="str">
        <f>"1890,0"</f>
        <v>1890,0</v>
      </c>
      <c r="J9" s="12" t="str">
        <f>"1390,4730"</f>
        <v>1390,4730</v>
      </c>
      <c r="K9" s="15"/>
    </row>
    <row r="10" spans="1:11">
      <c r="A10" s="17" t="s">
        <v>956</v>
      </c>
      <c r="B10" s="13" t="s">
        <v>524</v>
      </c>
      <c r="C10" s="13" t="s">
        <v>525</v>
      </c>
      <c r="D10" s="13" t="str">
        <f>"0,6927"</f>
        <v>0,6927</v>
      </c>
      <c r="E10" s="17" t="s">
        <v>28</v>
      </c>
      <c r="F10" s="17" t="s">
        <v>19</v>
      </c>
      <c r="G10" s="13" t="s">
        <v>810</v>
      </c>
      <c r="H10" s="36" t="s">
        <v>935</v>
      </c>
      <c r="I10" s="17" t="str">
        <f>"1875,0"</f>
        <v>1875,0</v>
      </c>
      <c r="J10" s="13" t="str">
        <f>"1298,7188"</f>
        <v>1298,7188</v>
      </c>
      <c r="K10" s="17"/>
    </row>
    <row r="11" spans="1:11">
      <c r="A11" s="17" t="s">
        <v>958</v>
      </c>
      <c r="B11" s="13" t="s">
        <v>959</v>
      </c>
      <c r="C11" s="13" t="s">
        <v>960</v>
      </c>
      <c r="D11" s="13" t="str">
        <f>"0,7049"</f>
        <v>0,7049</v>
      </c>
      <c r="E11" s="17" t="s">
        <v>130</v>
      </c>
      <c r="F11" s="17" t="s">
        <v>66</v>
      </c>
      <c r="G11" s="13" t="s">
        <v>810</v>
      </c>
      <c r="H11" s="36" t="s">
        <v>961</v>
      </c>
      <c r="I11" s="17" t="str">
        <f>"1650,0"</f>
        <v>1650,0</v>
      </c>
      <c r="J11" s="13" t="str">
        <f>"1163,0025"</f>
        <v>1163,0025</v>
      </c>
      <c r="K11" s="17"/>
    </row>
    <row r="12" spans="1:11">
      <c r="A12" s="17" t="s">
        <v>963</v>
      </c>
      <c r="B12" s="13" t="s">
        <v>964</v>
      </c>
      <c r="C12" s="13" t="s">
        <v>965</v>
      </c>
      <c r="D12" s="13" t="str">
        <f>"0,6934"</f>
        <v>0,6934</v>
      </c>
      <c r="E12" s="17" t="s">
        <v>28</v>
      </c>
      <c r="F12" s="17" t="s">
        <v>19</v>
      </c>
      <c r="G12" s="13" t="s">
        <v>810</v>
      </c>
      <c r="H12" s="36" t="s">
        <v>966</v>
      </c>
      <c r="I12" s="17" t="str">
        <f>"2550,0"</f>
        <v>2550,0</v>
      </c>
      <c r="J12" s="13" t="str">
        <f>"1822,8519"</f>
        <v>1822,8519</v>
      </c>
      <c r="K12" s="17"/>
    </row>
    <row r="13" spans="1:11">
      <c r="A13" s="19" t="s">
        <v>967</v>
      </c>
      <c r="B13" s="14" t="s">
        <v>968</v>
      </c>
      <c r="C13" s="14" t="s">
        <v>960</v>
      </c>
      <c r="D13" s="14" t="str">
        <f>"0,7049"</f>
        <v>0,7049</v>
      </c>
      <c r="E13" s="19" t="s">
        <v>130</v>
      </c>
      <c r="F13" s="19" t="s">
        <v>66</v>
      </c>
      <c r="G13" s="14" t="s">
        <v>810</v>
      </c>
      <c r="H13" s="33" t="s">
        <v>961</v>
      </c>
      <c r="I13" s="19" t="str">
        <f>"1650,0"</f>
        <v>1650,0</v>
      </c>
      <c r="J13" s="14" t="str">
        <f>"1275,8138"</f>
        <v>1275,8138</v>
      </c>
      <c r="K13" s="19"/>
    </row>
    <row r="15" spans="1:11" ht="15">
      <c r="A15" s="56" t="s">
        <v>109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1">
      <c r="A16" s="15" t="s">
        <v>548</v>
      </c>
      <c r="B16" s="12" t="s">
        <v>549</v>
      </c>
      <c r="C16" s="12" t="s">
        <v>550</v>
      </c>
      <c r="D16" s="12" t="str">
        <f>"0,6529"</f>
        <v>0,6529</v>
      </c>
      <c r="E16" s="15" t="s">
        <v>190</v>
      </c>
      <c r="F16" s="15" t="s">
        <v>191</v>
      </c>
      <c r="G16" s="12" t="s">
        <v>833</v>
      </c>
      <c r="H16" s="32" t="s">
        <v>969</v>
      </c>
      <c r="I16" s="15" t="str">
        <f>"2722,5"</f>
        <v>2722,5</v>
      </c>
      <c r="J16" s="12" t="str">
        <f>"1777,5202"</f>
        <v>1777,5202</v>
      </c>
      <c r="K16" s="15"/>
    </row>
    <row r="17" spans="1:11">
      <c r="A17" s="17" t="s">
        <v>970</v>
      </c>
      <c r="B17" s="13" t="s">
        <v>557</v>
      </c>
      <c r="C17" s="13" t="s">
        <v>558</v>
      </c>
      <c r="D17" s="13" t="str">
        <f>"0,6518"</f>
        <v>0,6518</v>
      </c>
      <c r="E17" s="17" t="s">
        <v>28</v>
      </c>
      <c r="F17" s="17" t="s">
        <v>19</v>
      </c>
      <c r="G17" s="13" t="s">
        <v>833</v>
      </c>
      <c r="H17" s="36" t="s">
        <v>971</v>
      </c>
      <c r="I17" s="17" t="str">
        <f>"2557,5"</f>
        <v>2557,5</v>
      </c>
      <c r="J17" s="13" t="str">
        <f>"1667,1063"</f>
        <v>1667,1063</v>
      </c>
      <c r="K17" s="17"/>
    </row>
    <row r="18" spans="1:11">
      <c r="A18" s="19" t="s">
        <v>972</v>
      </c>
      <c r="B18" s="14" t="s">
        <v>576</v>
      </c>
      <c r="C18" s="14" t="s">
        <v>259</v>
      </c>
      <c r="D18" s="14" t="str">
        <f>"0,6540"</f>
        <v>0,6540</v>
      </c>
      <c r="E18" s="19" t="s">
        <v>190</v>
      </c>
      <c r="F18" s="19" t="s">
        <v>191</v>
      </c>
      <c r="G18" s="14" t="s">
        <v>833</v>
      </c>
      <c r="H18" s="33" t="s">
        <v>973</v>
      </c>
      <c r="I18" s="19" t="str">
        <f>"1732,5"</f>
        <v>1732,5</v>
      </c>
      <c r="J18" s="14" t="str">
        <f>"1133,0550"</f>
        <v>1133,0550</v>
      </c>
      <c r="K18" s="19"/>
    </row>
    <row r="20" spans="1:11" ht="15">
      <c r="A20" s="56" t="s">
        <v>132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1">
      <c r="A21" s="15" t="s">
        <v>974</v>
      </c>
      <c r="B21" s="12" t="s">
        <v>592</v>
      </c>
      <c r="C21" s="12" t="s">
        <v>593</v>
      </c>
      <c r="D21" s="12" t="str">
        <f>"0,6192"</f>
        <v>0,6192</v>
      </c>
      <c r="E21" s="15" t="s">
        <v>28</v>
      </c>
      <c r="F21" s="15" t="s">
        <v>594</v>
      </c>
      <c r="G21" s="12" t="s">
        <v>423</v>
      </c>
      <c r="H21" s="32" t="s">
        <v>975</v>
      </c>
      <c r="I21" s="15" t="str">
        <f>"2880,0"</f>
        <v>2880,0</v>
      </c>
      <c r="J21" s="12" t="str">
        <f>"1783,4400"</f>
        <v>1783,4400</v>
      </c>
      <c r="K21" s="15"/>
    </row>
    <row r="22" spans="1:11">
      <c r="A22" s="17" t="s">
        <v>977</v>
      </c>
      <c r="B22" s="13" t="s">
        <v>978</v>
      </c>
      <c r="C22" s="13" t="s">
        <v>933</v>
      </c>
      <c r="D22" s="13" t="str">
        <f>"0,6269"</f>
        <v>0,6269</v>
      </c>
      <c r="E22" s="17" t="s">
        <v>28</v>
      </c>
      <c r="F22" s="17" t="s">
        <v>979</v>
      </c>
      <c r="G22" s="13" t="s">
        <v>834</v>
      </c>
      <c r="H22" s="36" t="s">
        <v>940</v>
      </c>
      <c r="I22" s="17" t="str">
        <f>"2450,0"</f>
        <v>2450,0</v>
      </c>
      <c r="J22" s="13" t="str">
        <f>"1535,7825"</f>
        <v>1535,7825</v>
      </c>
      <c r="K22" s="17"/>
    </row>
    <row r="23" spans="1:11">
      <c r="A23" s="17" t="s">
        <v>980</v>
      </c>
      <c r="B23" s="13" t="s">
        <v>549</v>
      </c>
      <c r="C23" s="13" t="s">
        <v>602</v>
      </c>
      <c r="D23" s="13" t="str">
        <f>"0,6217"</f>
        <v>0,6217</v>
      </c>
      <c r="E23" s="17" t="s">
        <v>190</v>
      </c>
      <c r="F23" s="17" t="s">
        <v>191</v>
      </c>
      <c r="G23" s="13" t="s">
        <v>834</v>
      </c>
      <c r="H23" s="36" t="s">
        <v>981</v>
      </c>
      <c r="I23" s="17" t="str">
        <f>"2012,5"</f>
        <v>2012,5</v>
      </c>
      <c r="J23" s="13" t="str">
        <f>"1251,2719"</f>
        <v>1251,2719</v>
      </c>
      <c r="K23" s="17"/>
    </row>
    <row r="24" spans="1:11">
      <c r="A24" s="19" t="s">
        <v>982</v>
      </c>
      <c r="B24" s="14" t="s">
        <v>983</v>
      </c>
      <c r="C24" s="14" t="s">
        <v>618</v>
      </c>
      <c r="D24" s="14" t="str">
        <f>"0,6226"</f>
        <v>0,6226</v>
      </c>
      <c r="E24" s="19" t="s">
        <v>190</v>
      </c>
      <c r="F24" s="19" t="s">
        <v>191</v>
      </c>
      <c r="G24" s="14" t="s">
        <v>834</v>
      </c>
      <c r="H24" s="33" t="s">
        <v>942</v>
      </c>
      <c r="I24" s="19" t="str">
        <f>"1662,5"</f>
        <v>1662,5</v>
      </c>
      <c r="J24" s="14" t="str">
        <f>"1067,1598"</f>
        <v>1067,1598</v>
      </c>
      <c r="K24" s="19"/>
    </row>
    <row r="26" spans="1:11" ht="15">
      <c r="A26" s="56" t="s">
        <v>23</v>
      </c>
      <c r="B26" s="56"/>
      <c r="C26" s="56"/>
      <c r="D26" s="56"/>
      <c r="E26" s="56"/>
      <c r="F26" s="56"/>
      <c r="G26" s="56"/>
      <c r="H26" s="56"/>
      <c r="I26" s="56"/>
      <c r="J26" s="56"/>
    </row>
    <row r="27" spans="1:11">
      <c r="A27" s="15" t="s">
        <v>624</v>
      </c>
      <c r="B27" s="12" t="s">
        <v>984</v>
      </c>
      <c r="C27" s="12" t="s">
        <v>626</v>
      </c>
      <c r="D27" s="12" t="str">
        <f>"0,5894"</f>
        <v>0,5894</v>
      </c>
      <c r="E27" s="15" t="s">
        <v>28</v>
      </c>
      <c r="F27" s="15" t="s">
        <v>19</v>
      </c>
      <c r="G27" s="12" t="s">
        <v>123</v>
      </c>
      <c r="H27" s="32" t="s">
        <v>971</v>
      </c>
      <c r="I27" s="15" t="str">
        <f>"3100,0"</f>
        <v>3100,0</v>
      </c>
      <c r="J27" s="12" t="str">
        <f>"1883,7813"</f>
        <v>1883,7813</v>
      </c>
      <c r="K27" s="15"/>
    </row>
    <row r="28" spans="1:11">
      <c r="A28" s="19" t="s">
        <v>649</v>
      </c>
      <c r="B28" s="14" t="s">
        <v>985</v>
      </c>
      <c r="C28" s="14" t="s">
        <v>651</v>
      </c>
      <c r="D28" s="14" t="str">
        <f>"0,5949"</f>
        <v>0,5949</v>
      </c>
      <c r="E28" s="19" t="s">
        <v>28</v>
      </c>
      <c r="F28" s="19" t="s">
        <v>19</v>
      </c>
      <c r="G28" s="14" t="s">
        <v>427</v>
      </c>
      <c r="H28" s="33" t="s">
        <v>986</v>
      </c>
      <c r="I28" s="19" t="str">
        <f>"1140,0"</f>
        <v>1140,0</v>
      </c>
      <c r="J28" s="14" t="str">
        <f>"926,4021"</f>
        <v>926,4021</v>
      </c>
      <c r="K28" s="19"/>
    </row>
    <row r="30" spans="1:11" ht="15">
      <c r="A30" s="56" t="s">
        <v>33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1">
      <c r="A31" s="15" t="s">
        <v>411</v>
      </c>
      <c r="B31" s="12" t="s">
        <v>987</v>
      </c>
      <c r="C31" s="12" t="s">
        <v>413</v>
      </c>
      <c r="D31" s="12" t="str">
        <f>"0,5731"</f>
        <v>0,5731</v>
      </c>
      <c r="E31" s="15" t="s">
        <v>28</v>
      </c>
      <c r="F31" s="15" t="s">
        <v>414</v>
      </c>
      <c r="G31" s="12" t="s">
        <v>348</v>
      </c>
      <c r="H31" s="32" t="s">
        <v>988</v>
      </c>
      <c r="I31" s="15" t="str">
        <f>"3045,0"</f>
        <v>3045,0</v>
      </c>
      <c r="J31" s="12" t="str">
        <f>"1745,2417"</f>
        <v>1745,2417</v>
      </c>
      <c r="K31" s="15"/>
    </row>
    <row r="32" spans="1:11">
      <c r="A32" s="17" t="s">
        <v>989</v>
      </c>
      <c r="B32" s="13" t="s">
        <v>655</v>
      </c>
      <c r="C32" s="13" t="s">
        <v>656</v>
      </c>
      <c r="D32" s="13" t="str">
        <f>"0,5647"</f>
        <v>0,5647</v>
      </c>
      <c r="E32" s="17" t="s">
        <v>130</v>
      </c>
      <c r="F32" s="17" t="s">
        <v>66</v>
      </c>
      <c r="G32" s="13" t="s">
        <v>533</v>
      </c>
      <c r="H32" s="36" t="s">
        <v>940</v>
      </c>
      <c r="I32" s="17" t="str">
        <f>"3080,0"</f>
        <v>3080,0</v>
      </c>
      <c r="J32" s="13" t="str">
        <f>"1739,2760"</f>
        <v>1739,2760</v>
      </c>
      <c r="K32" s="17"/>
    </row>
    <row r="33" spans="1:11">
      <c r="A33" s="19" t="s">
        <v>991</v>
      </c>
      <c r="B33" s="14" t="s">
        <v>992</v>
      </c>
      <c r="C33" s="14" t="s">
        <v>993</v>
      </c>
      <c r="D33" s="14" t="str">
        <f>"0,5760"</f>
        <v>0,5760</v>
      </c>
      <c r="E33" s="19" t="s">
        <v>28</v>
      </c>
      <c r="F33" s="19" t="s">
        <v>19</v>
      </c>
      <c r="G33" s="14" t="s">
        <v>812</v>
      </c>
      <c r="H33" s="33" t="s">
        <v>969</v>
      </c>
      <c r="I33" s="19" t="str">
        <f>"3382,5"</f>
        <v>3382,5</v>
      </c>
      <c r="J33" s="14" t="str">
        <f>"1967,9740"</f>
        <v>1967,9740</v>
      </c>
      <c r="K33" s="19"/>
    </row>
    <row r="35" spans="1:11" ht="15">
      <c r="E35" s="21" t="s">
        <v>69</v>
      </c>
    </row>
    <row r="36" spans="1:11" ht="15">
      <c r="E36" s="21" t="s">
        <v>70</v>
      </c>
    </row>
    <row r="37" spans="1:11" ht="15">
      <c r="E37" s="21" t="s">
        <v>71</v>
      </c>
    </row>
    <row r="38" spans="1:11">
      <c r="E38" s="4" t="s">
        <v>72</v>
      </c>
    </row>
    <row r="39" spans="1:11">
      <c r="E39" s="4" t="s">
        <v>73</v>
      </c>
    </row>
    <row r="40" spans="1:11">
      <c r="E40" s="4" t="s">
        <v>74</v>
      </c>
    </row>
    <row r="43" spans="1:11" ht="18">
      <c r="A43" s="22" t="s">
        <v>75</v>
      </c>
      <c r="B43" s="23"/>
    </row>
    <row r="44" spans="1:11" ht="15">
      <c r="A44" s="24" t="s">
        <v>76</v>
      </c>
      <c r="B44" s="25"/>
    </row>
    <row r="45" spans="1:11" ht="14.25">
      <c r="A45" s="27"/>
      <c r="B45" s="28" t="s">
        <v>77</v>
      </c>
    </row>
    <row r="46" spans="1:11" ht="15">
      <c r="A46" s="29" t="s">
        <v>0</v>
      </c>
      <c r="B46" s="29" t="s">
        <v>78</v>
      </c>
      <c r="C46" s="29" t="s">
        <v>79</v>
      </c>
      <c r="D46" s="29" t="s">
        <v>80</v>
      </c>
      <c r="E46" s="29" t="s">
        <v>932</v>
      </c>
    </row>
    <row r="47" spans="1:11">
      <c r="A47" s="26" t="s">
        <v>768</v>
      </c>
      <c r="B47" s="5" t="s">
        <v>77</v>
      </c>
      <c r="C47" s="5" t="s">
        <v>81</v>
      </c>
      <c r="D47" s="5" t="s">
        <v>994</v>
      </c>
      <c r="E47" s="30" t="s">
        <v>995</v>
      </c>
    </row>
    <row r="50" spans="1:5" ht="15">
      <c r="A50" s="24" t="s">
        <v>83</v>
      </c>
      <c r="B50" s="25"/>
    </row>
    <row r="51" spans="1:5" ht="14.25">
      <c r="A51" s="27"/>
      <c r="B51" s="28" t="s">
        <v>77</v>
      </c>
    </row>
    <row r="52" spans="1:5" ht="15">
      <c r="A52" s="29" t="s">
        <v>0</v>
      </c>
      <c r="B52" s="29" t="s">
        <v>78</v>
      </c>
      <c r="C52" s="29" t="s">
        <v>79</v>
      </c>
      <c r="D52" s="29" t="s">
        <v>80</v>
      </c>
      <c r="E52" s="29" t="s">
        <v>932</v>
      </c>
    </row>
    <row r="53" spans="1:5">
      <c r="A53" s="26" t="s">
        <v>590</v>
      </c>
      <c r="B53" s="5" t="s">
        <v>77</v>
      </c>
      <c r="C53" s="5" t="s">
        <v>214</v>
      </c>
      <c r="D53" s="5" t="s">
        <v>996</v>
      </c>
      <c r="E53" s="30" t="s">
        <v>997</v>
      </c>
    </row>
    <row r="54" spans="1:5">
      <c r="A54" s="26" t="s">
        <v>547</v>
      </c>
      <c r="B54" s="5" t="s">
        <v>77</v>
      </c>
      <c r="C54" s="5" t="s">
        <v>221</v>
      </c>
      <c r="D54" s="5" t="s">
        <v>998</v>
      </c>
      <c r="E54" s="30" t="s">
        <v>999</v>
      </c>
    </row>
    <row r="55" spans="1:5">
      <c r="A55" s="26" t="s">
        <v>410</v>
      </c>
      <c r="B55" s="5" t="s">
        <v>77</v>
      </c>
      <c r="C55" s="5" t="s">
        <v>93</v>
      </c>
      <c r="D55" s="5" t="s">
        <v>1000</v>
      </c>
      <c r="E55" s="30" t="s">
        <v>1001</v>
      </c>
    </row>
    <row r="56" spans="1:5">
      <c r="A56" s="26" t="s">
        <v>653</v>
      </c>
      <c r="B56" s="5" t="s">
        <v>77</v>
      </c>
      <c r="C56" s="5" t="s">
        <v>93</v>
      </c>
      <c r="D56" s="5" t="s">
        <v>1002</v>
      </c>
      <c r="E56" s="30" t="s">
        <v>1003</v>
      </c>
    </row>
    <row r="57" spans="1:5">
      <c r="A57" s="26" t="s">
        <v>555</v>
      </c>
      <c r="B57" s="5" t="s">
        <v>77</v>
      </c>
      <c r="C57" s="5" t="s">
        <v>221</v>
      </c>
      <c r="D57" s="5" t="s">
        <v>1004</v>
      </c>
      <c r="E57" s="30" t="s">
        <v>1005</v>
      </c>
    </row>
    <row r="58" spans="1:5">
      <c r="A58" s="26" t="s">
        <v>976</v>
      </c>
      <c r="B58" s="5" t="s">
        <v>77</v>
      </c>
      <c r="C58" s="5" t="s">
        <v>214</v>
      </c>
      <c r="D58" s="5" t="s">
        <v>1006</v>
      </c>
      <c r="E58" s="30" t="s">
        <v>1007</v>
      </c>
    </row>
    <row r="59" spans="1:5">
      <c r="A59" s="26" t="s">
        <v>951</v>
      </c>
      <c r="B59" s="5" t="s">
        <v>77</v>
      </c>
      <c r="C59" s="5" t="s">
        <v>432</v>
      </c>
      <c r="D59" s="5" t="s">
        <v>1008</v>
      </c>
      <c r="E59" s="30" t="s">
        <v>1009</v>
      </c>
    </row>
    <row r="60" spans="1:5">
      <c r="A60" s="26" t="s">
        <v>522</v>
      </c>
      <c r="B60" s="5" t="s">
        <v>77</v>
      </c>
      <c r="C60" s="5" t="s">
        <v>432</v>
      </c>
      <c r="D60" s="5" t="s">
        <v>1010</v>
      </c>
      <c r="E60" s="30" t="s">
        <v>1011</v>
      </c>
    </row>
    <row r="61" spans="1:5">
      <c r="A61" s="26" t="s">
        <v>600</v>
      </c>
      <c r="B61" s="5" t="s">
        <v>77</v>
      </c>
      <c r="C61" s="5" t="s">
        <v>214</v>
      </c>
      <c r="D61" s="5" t="s">
        <v>1012</v>
      </c>
      <c r="E61" s="30" t="s">
        <v>1013</v>
      </c>
    </row>
    <row r="62" spans="1:5">
      <c r="A62" s="26" t="s">
        <v>957</v>
      </c>
      <c r="B62" s="5" t="s">
        <v>77</v>
      </c>
      <c r="C62" s="5" t="s">
        <v>432</v>
      </c>
      <c r="D62" s="5" t="s">
        <v>1014</v>
      </c>
      <c r="E62" s="30" t="s">
        <v>1015</v>
      </c>
    </row>
    <row r="63" spans="1:5">
      <c r="A63" s="26" t="s">
        <v>574</v>
      </c>
      <c r="B63" s="5" t="s">
        <v>77</v>
      </c>
      <c r="C63" s="5" t="s">
        <v>221</v>
      </c>
      <c r="D63" s="5" t="s">
        <v>1016</v>
      </c>
      <c r="E63" s="30" t="s">
        <v>1017</v>
      </c>
    </row>
    <row r="65" spans="1:5" ht="14.25">
      <c r="A65" s="27"/>
      <c r="B65" s="28" t="s">
        <v>96</v>
      </c>
    </row>
    <row r="66" spans="1:5" ht="15">
      <c r="A66" s="29" t="s">
        <v>0</v>
      </c>
      <c r="B66" s="29" t="s">
        <v>78</v>
      </c>
      <c r="C66" s="29" t="s">
        <v>79</v>
      </c>
      <c r="D66" s="29" t="s">
        <v>80</v>
      </c>
      <c r="E66" s="29" t="s">
        <v>932</v>
      </c>
    </row>
    <row r="67" spans="1:5">
      <c r="A67" s="26" t="s">
        <v>990</v>
      </c>
      <c r="B67" s="5" t="s">
        <v>943</v>
      </c>
      <c r="C67" s="5" t="s">
        <v>93</v>
      </c>
      <c r="D67" s="5" t="s">
        <v>1018</v>
      </c>
      <c r="E67" s="30" t="s">
        <v>1019</v>
      </c>
    </row>
    <row r="68" spans="1:5">
      <c r="A68" s="26" t="s">
        <v>623</v>
      </c>
      <c r="B68" s="5" t="s">
        <v>943</v>
      </c>
      <c r="C68" s="5" t="s">
        <v>88</v>
      </c>
      <c r="D68" s="5" t="s">
        <v>1020</v>
      </c>
      <c r="E68" s="30" t="s">
        <v>1021</v>
      </c>
    </row>
    <row r="69" spans="1:5">
      <c r="A69" s="26" t="s">
        <v>962</v>
      </c>
      <c r="B69" s="5" t="s">
        <v>943</v>
      </c>
      <c r="C69" s="5" t="s">
        <v>432</v>
      </c>
      <c r="D69" s="5" t="s">
        <v>1022</v>
      </c>
      <c r="E69" s="30" t="s">
        <v>1023</v>
      </c>
    </row>
    <row r="70" spans="1:5">
      <c r="A70" s="26" t="s">
        <v>957</v>
      </c>
      <c r="B70" s="5" t="s">
        <v>943</v>
      </c>
      <c r="C70" s="5" t="s">
        <v>432</v>
      </c>
      <c r="D70" s="5" t="s">
        <v>1014</v>
      </c>
      <c r="E70" s="30" t="s">
        <v>1024</v>
      </c>
    </row>
    <row r="71" spans="1:5">
      <c r="A71" s="26" t="s">
        <v>615</v>
      </c>
      <c r="B71" s="5" t="s">
        <v>943</v>
      </c>
      <c r="C71" s="5" t="s">
        <v>214</v>
      </c>
      <c r="D71" s="5" t="s">
        <v>1025</v>
      </c>
      <c r="E71" s="30" t="s">
        <v>1026</v>
      </c>
    </row>
    <row r="72" spans="1:5">
      <c r="A72" s="26" t="s">
        <v>648</v>
      </c>
      <c r="B72" s="5" t="s">
        <v>1027</v>
      </c>
      <c r="C72" s="5" t="s">
        <v>88</v>
      </c>
      <c r="D72" s="5" t="s">
        <v>1028</v>
      </c>
      <c r="E72" s="30" t="s">
        <v>1029</v>
      </c>
    </row>
  </sheetData>
  <mergeCells count="17">
    <mergeCell ref="A20:J20"/>
    <mergeCell ref="A26:J26"/>
    <mergeCell ref="A30:J30"/>
    <mergeCell ref="I3:I4"/>
    <mergeCell ref="J3:J4"/>
    <mergeCell ref="K3:K4"/>
    <mergeCell ref="A5:J5"/>
    <mergeCell ref="A8:J8"/>
    <mergeCell ref="A15:J1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8.140625" style="4" bestFit="1" customWidth="1"/>
    <col min="7" max="7" width="5.5703125" style="5" bestFit="1" customWidth="1"/>
    <col min="8" max="8" width="4.5703125" style="34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45" t="s">
        <v>1116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s="1" customFormat="1" ht="12.75" customHeight="1">
      <c r="A3" s="51" t="s">
        <v>0</v>
      </c>
      <c r="B3" s="53" t="s">
        <v>10</v>
      </c>
      <c r="C3" s="53" t="s">
        <v>8</v>
      </c>
      <c r="D3" s="39" t="s">
        <v>932</v>
      </c>
      <c r="E3" s="39" t="s">
        <v>1</v>
      </c>
      <c r="F3" s="54" t="s">
        <v>12</v>
      </c>
      <c r="G3" s="51" t="s">
        <v>948</v>
      </c>
      <c r="H3" s="39"/>
      <c r="I3" s="37" t="s">
        <v>100</v>
      </c>
      <c r="J3" s="39" t="s">
        <v>6</v>
      </c>
      <c r="K3" s="41" t="s">
        <v>5</v>
      </c>
    </row>
    <row r="4" spans="1:11" s="1" customFormat="1" ht="23.25" customHeight="1" thickBot="1">
      <c r="A4" s="52"/>
      <c r="B4" s="40"/>
      <c r="C4" s="40"/>
      <c r="D4" s="40"/>
      <c r="E4" s="40"/>
      <c r="F4" s="55"/>
      <c r="G4" s="6" t="s">
        <v>949</v>
      </c>
      <c r="H4" s="31" t="s">
        <v>950</v>
      </c>
      <c r="I4" s="38"/>
      <c r="J4" s="40"/>
      <c r="K4" s="42"/>
    </row>
    <row r="5" spans="1:11" s="5" customFormat="1" ht="15">
      <c r="A5" s="43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"/>
    </row>
    <row r="6" spans="1:11" s="5" customFormat="1">
      <c r="A6" s="15" t="s">
        <v>937</v>
      </c>
      <c r="B6" s="12" t="s">
        <v>938</v>
      </c>
      <c r="C6" s="12" t="s">
        <v>939</v>
      </c>
      <c r="D6" s="12" t="str">
        <f>"0,5785"</f>
        <v>0,5785</v>
      </c>
      <c r="E6" s="15" t="s">
        <v>28</v>
      </c>
      <c r="F6" s="15" t="s">
        <v>19</v>
      </c>
      <c r="G6" s="12" t="s">
        <v>812</v>
      </c>
      <c r="H6" s="32" t="s">
        <v>940</v>
      </c>
      <c r="I6" s="15" t="str">
        <f>"2870,0"</f>
        <v>2870,0</v>
      </c>
      <c r="J6" s="12" t="str">
        <f>"1711,7641"</f>
        <v>1711,7641</v>
      </c>
      <c r="K6" s="15"/>
    </row>
    <row r="7" spans="1:11" s="5" customFormat="1">
      <c r="A7" s="19" t="s">
        <v>187</v>
      </c>
      <c r="B7" s="14" t="s">
        <v>941</v>
      </c>
      <c r="C7" s="14" t="s">
        <v>189</v>
      </c>
      <c r="D7" s="14" t="str">
        <f>"0,5635"</f>
        <v>0,5635</v>
      </c>
      <c r="E7" s="19" t="s">
        <v>190</v>
      </c>
      <c r="F7" s="19" t="s">
        <v>191</v>
      </c>
      <c r="G7" s="14" t="s">
        <v>533</v>
      </c>
      <c r="H7" s="33" t="s">
        <v>942</v>
      </c>
      <c r="I7" s="19" t="str">
        <f>"2090,0"</f>
        <v>2090,0</v>
      </c>
      <c r="J7" s="14" t="str">
        <f>"1274,2876"</f>
        <v>1274,2876</v>
      </c>
      <c r="K7" s="19"/>
    </row>
    <row r="9" spans="1:11" ht="15">
      <c r="E9" s="21" t="s">
        <v>69</v>
      </c>
    </row>
    <row r="10" spans="1:11" ht="15">
      <c r="E10" s="21" t="s">
        <v>70</v>
      </c>
    </row>
    <row r="11" spans="1:11" ht="15">
      <c r="E11" s="21" t="s">
        <v>71</v>
      </c>
    </row>
    <row r="12" spans="1:11">
      <c r="E12" s="4" t="s">
        <v>72</v>
      </c>
    </row>
    <row r="13" spans="1:11">
      <c r="E13" s="4" t="s">
        <v>73</v>
      </c>
    </row>
    <row r="14" spans="1:11">
      <c r="E14" s="4" t="s">
        <v>74</v>
      </c>
    </row>
    <row r="17" spans="1:5" ht="18">
      <c r="A17" s="22" t="s">
        <v>75</v>
      </c>
      <c r="B17" s="23"/>
    </row>
    <row r="18" spans="1:5" ht="15">
      <c r="A18" s="24" t="s">
        <v>83</v>
      </c>
      <c r="B18" s="25"/>
    </row>
    <row r="19" spans="1:5" ht="14.25">
      <c r="A19" s="27"/>
      <c r="B19" s="28" t="s">
        <v>96</v>
      </c>
    </row>
    <row r="20" spans="1:5" ht="15">
      <c r="A20" s="29" t="s">
        <v>0</v>
      </c>
      <c r="B20" s="29" t="s">
        <v>78</v>
      </c>
      <c r="C20" s="29" t="s">
        <v>79</v>
      </c>
      <c r="D20" s="29" t="s">
        <v>80</v>
      </c>
      <c r="E20" s="29" t="s">
        <v>932</v>
      </c>
    </row>
    <row r="21" spans="1:5">
      <c r="A21" s="26" t="s">
        <v>936</v>
      </c>
      <c r="B21" s="5" t="s">
        <v>943</v>
      </c>
      <c r="C21" s="5" t="s">
        <v>93</v>
      </c>
      <c r="D21" s="5" t="s">
        <v>944</v>
      </c>
      <c r="E21" s="30" t="s">
        <v>945</v>
      </c>
    </row>
    <row r="22" spans="1:5">
      <c r="A22" s="26" t="s">
        <v>186</v>
      </c>
      <c r="B22" s="5" t="s">
        <v>943</v>
      </c>
      <c r="C22" s="5" t="s">
        <v>93</v>
      </c>
      <c r="D22" s="5" t="s">
        <v>946</v>
      </c>
      <c r="E22" s="30" t="s">
        <v>947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8"/>
  <sheetViews>
    <sheetView tabSelected="1"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" style="4" bestFit="1" customWidth="1"/>
    <col min="7" max="9" width="6.85546875" style="5" bestFit="1" customWidth="1"/>
    <col min="10" max="10" width="5" style="5" bestFit="1" customWidth="1"/>
    <col min="11" max="12" width="6.85546875" style="5" bestFit="1" customWidth="1"/>
    <col min="13" max="13" width="6.85546875" style="5" customWidth="1"/>
    <col min="14" max="14" width="5" style="5" bestFit="1" customWidth="1"/>
    <col min="15" max="15" width="6.85546875" style="5" customWidth="1"/>
    <col min="16" max="16" width="6.85546875" style="5" bestFit="1" customWidth="1"/>
    <col min="17" max="17" width="6.85546875" style="5" customWidth="1"/>
    <col min="18" max="18" width="5" style="5" bestFit="1" customWidth="1"/>
    <col min="19" max="19" width="7.85546875" style="4" bestFit="1" customWidth="1"/>
    <col min="20" max="20" width="8.5703125" style="5" bestFit="1" customWidth="1"/>
    <col min="21" max="21" width="10.42578125" style="4" bestFit="1" customWidth="1"/>
    <col min="22" max="16384" width="9.140625" style="3"/>
  </cols>
  <sheetData>
    <row r="1" spans="1:21" s="2" customFormat="1" ht="29.1" customHeight="1">
      <c r="A1" s="45" t="s">
        <v>1103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/>
    </row>
    <row r="3" spans="1:21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2</v>
      </c>
      <c r="H3" s="39"/>
      <c r="I3" s="39"/>
      <c r="J3" s="41"/>
      <c r="K3" s="51" t="s">
        <v>3</v>
      </c>
      <c r="L3" s="39"/>
      <c r="M3" s="39"/>
      <c r="N3" s="41"/>
      <c r="O3" s="51" t="s">
        <v>4</v>
      </c>
      <c r="P3" s="39"/>
      <c r="Q3" s="39"/>
      <c r="R3" s="41"/>
      <c r="S3" s="37" t="s">
        <v>9</v>
      </c>
      <c r="T3" s="39" t="s">
        <v>6</v>
      </c>
      <c r="U3" s="41" t="s">
        <v>5</v>
      </c>
    </row>
    <row r="4" spans="1:21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38"/>
      <c r="T4" s="40"/>
      <c r="U4" s="42"/>
    </row>
    <row r="5" spans="1:21" s="5" customFormat="1" ht="15">
      <c r="A5" s="43" t="s">
        <v>323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"/>
    </row>
    <row r="6" spans="1:21" s="5" customFormat="1">
      <c r="A6" s="15" t="s">
        <v>781</v>
      </c>
      <c r="B6" s="12" t="s">
        <v>782</v>
      </c>
      <c r="C6" s="12" t="s">
        <v>783</v>
      </c>
      <c r="D6" s="12" t="str">
        <f>"0,9333"</f>
        <v>0,9333</v>
      </c>
      <c r="E6" s="15" t="s">
        <v>28</v>
      </c>
      <c r="F6" s="15" t="s">
        <v>777</v>
      </c>
      <c r="G6" s="16" t="s">
        <v>784</v>
      </c>
      <c r="H6" s="12" t="s">
        <v>785</v>
      </c>
      <c r="I6" s="12" t="s">
        <v>786</v>
      </c>
      <c r="J6" s="16"/>
      <c r="K6" s="12" t="s">
        <v>471</v>
      </c>
      <c r="L6" s="12" t="s">
        <v>787</v>
      </c>
      <c r="M6" s="16" t="s">
        <v>472</v>
      </c>
      <c r="N6" s="16"/>
      <c r="O6" s="12" t="s">
        <v>786</v>
      </c>
      <c r="P6" s="12" t="s">
        <v>788</v>
      </c>
      <c r="Q6" s="12" t="s">
        <v>334</v>
      </c>
      <c r="R6" s="16"/>
      <c r="S6" s="15" t="str">
        <f>"172.50w"</f>
        <v>172.50w</v>
      </c>
      <c r="T6" s="12" t="str">
        <f>"160,9943"</f>
        <v>160,9943</v>
      </c>
      <c r="U6" s="15"/>
    </row>
    <row r="7" spans="1:21" s="5" customFormat="1">
      <c r="A7" s="19" t="s">
        <v>790</v>
      </c>
      <c r="B7" s="14" t="s">
        <v>791</v>
      </c>
      <c r="C7" s="14" t="s">
        <v>327</v>
      </c>
      <c r="D7" s="14" t="str">
        <f>"0,9249"</f>
        <v>0,9249</v>
      </c>
      <c r="E7" s="19" t="s">
        <v>28</v>
      </c>
      <c r="F7" s="19" t="s">
        <v>158</v>
      </c>
      <c r="G7" s="14" t="s">
        <v>336</v>
      </c>
      <c r="H7" s="20" t="s">
        <v>792</v>
      </c>
      <c r="I7" s="20" t="s">
        <v>792</v>
      </c>
      <c r="J7" s="20"/>
      <c r="K7" s="14" t="s">
        <v>793</v>
      </c>
      <c r="L7" s="14" t="s">
        <v>794</v>
      </c>
      <c r="M7" s="20" t="s">
        <v>465</v>
      </c>
      <c r="N7" s="20"/>
      <c r="O7" s="14" t="s">
        <v>652</v>
      </c>
      <c r="P7" s="20" t="s">
        <v>125</v>
      </c>
      <c r="Q7" s="14" t="s">
        <v>795</v>
      </c>
      <c r="R7" s="20"/>
      <c r="S7" s="19" t="str">
        <f>"285.00w"</f>
        <v>285.00w</v>
      </c>
      <c r="T7" s="14" t="str">
        <f>"263,5965"</f>
        <v>263,5965</v>
      </c>
      <c r="U7" s="19"/>
    </row>
    <row r="9" spans="1:21" ht="15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1">
      <c r="A10" s="15" t="s">
        <v>797</v>
      </c>
      <c r="B10" s="12" t="s">
        <v>798</v>
      </c>
      <c r="C10" s="12" t="s">
        <v>799</v>
      </c>
      <c r="D10" s="12" t="str">
        <f>"0,7807"</f>
        <v>0,7807</v>
      </c>
      <c r="E10" s="15" t="s">
        <v>28</v>
      </c>
      <c r="F10" s="15" t="s">
        <v>800</v>
      </c>
      <c r="G10" s="12" t="s">
        <v>328</v>
      </c>
      <c r="H10" s="12" t="s">
        <v>801</v>
      </c>
      <c r="I10" s="12" t="s">
        <v>490</v>
      </c>
      <c r="J10" s="16"/>
      <c r="K10" s="12" t="s">
        <v>802</v>
      </c>
      <c r="L10" s="12" t="s">
        <v>803</v>
      </c>
      <c r="M10" s="16" t="s">
        <v>804</v>
      </c>
      <c r="N10" s="16"/>
      <c r="O10" s="12" t="s">
        <v>336</v>
      </c>
      <c r="P10" s="12" t="s">
        <v>490</v>
      </c>
      <c r="Q10" s="12" t="s">
        <v>646</v>
      </c>
      <c r="R10" s="16"/>
      <c r="S10" s="15" t="str">
        <f>"257.50w"</f>
        <v>257.50w</v>
      </c>
      <c r="T10" s="12" t="str">
        <f>"201,0303"</f>
        <v>201,0303</v>
      </c>
      <c r="U10" s="15"/>
    </row>
    <row r="11" spans="1:21">
      <c r="A11" s="19" t="s">
        <v>806</v>
      </c>
      <c r="B11" s="14" t="s">
        <v>807</v>
      </c>
      <c r="C11" s="14" t="s">
        <v>808</v>
      </c>
      <c r="D11" s="14" t="str">
        <f>"0,8404"</f>
        <v>0,8404</v>
      </c>
      <c r="E11" s="19" t="s">
        <v>18</v>
      </c>
      <c r="F11" s="19" t="s">
        <v>809</v>
      </c>
      <c r="G11" s="20" t="s">
        <v>465</v>
      </c>
      <c r="H11" s="14" t="s">
        <v>466</v>
      </c>
      <c r="I11" s="20" t="s">
        <v>810</v>
      </c>
      <c r="J11" s="20"/>
      <c r="K11" s="14" t="s">
        <v>472</v>
      </c>
      <c r="L11" s="14" t="s">
        <v>811</v>
      </c>
      <c r="M11" s="20" t="s">
        <v>784</v>
      </c>
      <c r="N11" s="20"/>
      <c r="O11" s="14" t="s">
        <v>427</v>
      </c>
      <c r="P11" s="14" t="s">
        <v>812</v>
      </c>
      <c r="Q11" s="20" t="s">
        <v>533</v>
      </c>
      <c r="R11" s="20"/>
      <c r="S11" s="19" t="str">
        <f>"217,5"</f>
        <v>217,5</v>
      </c>
      <c r="T11" s="14" t="str">
        <f>"183,3354"</f>
        <v>183,3354</v>
      </c>
      <c r="U11" s="19"/>
    </row>
    <row r="13" spans="1:21" ht="15">
      <c r="A13" s="56" t="s">
        <v>342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1">
      <c r="A14" s="9" t="s">
        <v>814</v>
      </c>
      <c r="B14" s="10" t="s">
        <v>815</v>
      </c>
      <c r="C14" s="10" t="s">
        <v>816</v>
      </c>
      <c r="D14" s="10" t="str">
        <f>"0,7409"</f>
        <v>0,7409</v>
      </c>
      <c r="E14" s="9" t="s">
        <v>28</v>
      </c>
      <c r="F14" s="9" t="s">
        <v>817</v>
      </c>
      <c r="G14" s="10" t="s">
        <v>336</v>
      </c>
      <c r="H14" s="10" t="s">
        <v>490</v>
      </c>
      <c r="I14" s="11" t="s">
        <v>495</v>
      </c>
      <c r="J14" s="11"/>
      <c r="K14" s="10" t="s">
        <v>818</v>
      </c>
      <c r="L14" s="11" t="s">
        <v>819</v>
      </c>
      <c r="M14" s="11" t="s">
        <v>819</v>
      </c>
      <c r="N14" s="11"/>
      <c r="O14" s="10" t="s">
        <v>490</v>
      </c>
      <c r="P14" s="10" t="s">
        <v>456</v>
      </c>
      <c r="Q14" s="11" t="s">
        <v>360</v>
      </c>
      <c r="R14" s="11"/>
      <c r="S14" s="9" t="str">
        <f>"265.00w"</f>
        <v>265.00w</v>
      </c>
      <c r="T14" s="10" t="str">
        <f>"196,3385"</f>
        <v>196,3385</v>
      </c>
      <c r="U14" s="9"/>
    </row>
    <row r="16" spans="1:21" ht="15">
      <c r="A16" s="56" t="s">
        <v>109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1">
      <c r="A17" s="9" t="s">
        <v>821</v>
      </c>
      <c r="B17" s="10" t="s">
        <v>822</v>
      </c>
      <c r="C17" s="10" t="s">
        <v>823</v>
      </c>
      <c r="D17" s="10" t="str">
        <f>"0,6917"</f>
        <v>0,6917</v>
      </c>
      <c r="E17" s="9" t="s">
        <v>18</v>
      </c>
      <c r="F17" s="9" t="s">
        <v>19</v>
      </c>
      <c r="G17" s="10" t="s">
        <v>107</v>
      </c>
      <c r="H17" s="11" t="s">
        <v>108</v>
      </c>
      <c r="I17" s="11" t="s">
        <v>131</v>
      </c>
      <c r="J17" s="11"/>
      <c r="K17" s="11" t="s">
        <v>824</v>
      </c>
      <c r="L17" s="10" t="s">
        <v>824</v>
      </c>
      <c r="M17" s="11" t="s">
        <v>819</v>
      </c>
      <c r="N17" s="11"/>
      <c r="O17" s="10" t="s">
        <v>20</v>
      </c>
      <c r="P17" s="11" t="s">
        <v>262</v>
      </c>
      <c r="Q17" s="11" t="s">
        <v>208</v>
      </c>
      <c r="R17" s="11"/>
      <c r="S17" s="9" t="str">
        <f>"317,5"</f>
        <v>317,5</v>
      </c>
      <c r="T17" s="10" t="str">
        <f>"219,6147"</f>
        <v>219,6147</v>
      </c>
      <c r="U17" s="9"/>
    </row>
    <row r="19" spans="1:21" ht="15">
      <c r="A19" s="56" t="s">
        <v>13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1">
      <c r="A20" s="9" t="s">
        <v>826</v>
      </c>
      <c r="B20" s="10" t="s">
        <v>827</v>
      </c>
      <c r="C20" s="10" t="s">
        <v>504</v>
      </c>
      <c r="D20" s="10" t="str">
        <f>"0,7471"</f>
        <v>0,7471</v>
      </c>
      <c r="E20" s="9" t="s">
        <v>347</v>
      </c>
      <c r="F20" s="9" t="s">
        <v>828</v>
      </c>
      <c r="G20" s="10" t="s">
        <v>20</v>
      </c>
      <c r="H20" s="10" t="s">
        <v>631</v>
      </c>
      <c r="I20" s="10" t="s">
        <v>585</v>
      </c>
      <c r="J20" s="11"/>
      <c r="K20" s="10" t="s">
        <v>123</v>
      </c>
      <c r="L20" s="10" t="s">
        <v>348</v>
      </c>
      <c r="M20" s="11" t="s">
        <v>495</v>
      </c>
      <c r="N20" s="11"/>
      <c r="O20" s="10" t="s">
        <v>179</v>
      </c>
      <c r="P20" s="10" t="s">
        <v>153</v>
      </c>
      <c r="Q20" s="10" t="s">
        <v>184</v>
      </c>
      <c r="R20" s="11"/>
      <c r="S20" s="9" t="str">
        <f>"447,5"</f>
        <v>447,5</v>
      </c>
      <c r="T20" s="10" t="str">
        <f>"334,3272"</f>
        <v>334,3272</v>
      </c>
      <c r="U20" s="9"/>
    </row>
    <row r="22" spans="1:21" ht="15">
      <c r="A22" s="56" t="s">
        <v>342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1">
      <c r="A23" s="9" t="s">
        <v>830</v>
      </c>
      <c r="B23" s="10" t="s">
        <v>831</v>
      </c>
      <c r="C23" s="10" t="s">
        <v>832</v>
      </c>
      <c r="D23" s="10" t="str">
        <f>"0,6645"</f>
        <v>0,6645</v>
      </c>
      <c r="E23" s="9" t="s">
        <v>28</v>
      </c>
      <c r="F23" s="9" t="s">
        <v>165</v>
      </c>
      <c r="G23" s="10" t="s">
        <v>490</v>
      </c>
      <c r="H23" s="11" t="s">
        <v>533</v>
      </c>
      <c r="I23" s="10" t="s">
        <v>291</v>
      </c>
      <c r="J23" s="11"/>
      <c r="K23" s="10" t="s">
        <v>334</v>
      </c>
      <c r="L23" s="10" t="s">
        <v>833</v>
      </c>
      <c r="M23" s="11" t="s">
        <v>834</v>
      </c>
      <c r="N23" s="11"/>
      <c r="O23" s="10" t="s">
        <v>646</v>
      </c>
      <c r="P23" s="10" t="s">
        <v>291</v>
      </c>
      <c r="Q23" s="10" t="s">
        <v>261</v>
      </c>
      <c r="R23" s="11"/>
      <c r="S23" s="9" t="str">
        <f>"332.50w"</f>
        <v>332.50w</v>
      </c>
      <c r="T23" s="10" t="str">
        <f>"220,9462"</f>
        <v>220,9462</v>
      </c>
      <c r="U23" s="9"/>
    </row>
    <row r="25" spans="1:21" ht="15">
      <c r="A25" s="56" t="s">
        <v>109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1">
      <c r="A26" s="15" t="s">
        <v>836</v>
      </c>
      <c r="B26" s="12" t="s">
        <v>837</v>
      </c>
      <c r="C26" s="12" t="s">
        <v>558</v>
      </c>
      <c r="D26" s="12" t="str">
        <f>"0,6268"</f>
        <v>0,6268</v>
      </c>
      <c r="E26" s="15" t="s">
        <v>28</v>
      </c>
      <c r="F26" s="15" t="s">
        <v>19</v>
      </c>
      <c r="G26" s="12" t="s">
        <v>515</v>
      </c>
      <c r="H26" s="12" t="s">
        <v>270</v>
      </c>
      <c r="I26" s="16" t="s">
        <v>222</v>
      </c>
      <c r="J26" s="16"/>
      <c r="K26" s="12" t="s">
        <v>423</v>
      </c>
      <c r="L26" s="12" t="s">
        <v>490</v>
      </c>
      <c r="M26" s="16" t="s">
        <v>533</v>
      </c>
      <c r="N26" s="16"/>
      <c r="O26" s="12" t="s">
        <v>206</v>
      </c>
      <c r="P26" s="12" t="s">
        <v>152</v>
      </c>
      <c r="Q26" s="12" t="s">
        <v>263</v>
      </c>
      <c r="R26" s="16"/>
      <c r="S26" s="15" t="str">
        <f>"435.00w"</f>
        <v>435.00w</v>
      </c>
      <c r="T26" s="12" t="str">
        <f>"272,6580"</f>
        <v>272,6580</v>
      </c>
      <c r="U26" s="15"/>
    </row>
    <row r="27" spans="1:21">
      <c r="A27" s="19" t="s">
        <v>839</v>
      </c>
      <c r="B27" s="14" t="s">
        <v>840</v>
      </c>
      <c r="C27" s="14" t="s">
        <v>558</v>
      </c>
      <c r="D27" s="14" t="str">
        <f>"0,6268"</f>
        <v>0,6268</v>
      </c>
      <c r="E27" s="19" t="s">
        <v>28</v>
      </c>
      <c r="F27" s="19" t="s">
        <v>19</v>
      </c>
      <c r="G27" s="14" t="s">
        <v>292</v>
      </c>
      <c r="H27" s="14" t="s">
        <v>515</v>
      </c>
      <c r="I27" s="14" t="s">
        <v>270</v>
      </c>
      <c r="J27" s="20"/>
      <c r="K27" s="14" t="s">
        <v>336</v>
      </c>
      <c r="L27" s="20" t="s">
        <v>123</v>
      </c>
      <c r="M27" s="14" t="s">
        <v>490</v>
      </c>
      <c r="N27" s="20"/>
      <c r="O27" s="14" t="s">
        <v>515</v>
      </c>
      <c r="P27" s="14" t="s">
        <v>115</v>
      </c>
      <c r="Q27" s="14" t="s">
        <v>207</v>
      </c>
      <c r="R27" s="20"/>
      <c r="S27" s="19" t="str">
        <f>"410.00w"</f>
        <v>410.00w</v>
      </c>
      <c r="T27" s="14" t="str">
        <f>"256,9880"</f>
        <v>256,9880</v>
      </c>
      <c r="U27" s="19"/>
    </row>
    <row r="29" spans="1:21" ht="15">
      <c r="A29" s="56" t="s">
        <v>132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1">
      <c r="A30" s="15" t="s">
        <v>842</v>
      </c>
      <c r="B30" s="12" t="s">
        <v>843</v>
      </c>
      <c r="C30" s="12" t="s">
        <v>136</v>
      </c>
      <c r="D30" s="12" t="str">
        <f>"0,5905"</f>
        <v>0,5905</v>
      </c>
      <c r="E30" s="15" t="s">
        <v>28</v>
      </c>
      <c r="F30" s="15" t="s">
        <v>19</v>
      </c>
      <c r="G30" s="12" t="s">
        <v>39</v>
      </c>
      <c r="H30" s="12" t="s">
        <v>139</v>
      </c>
      <c r="I30" s="12" t="s">
        <v>166</v>
      </c>
      <c r="J30" s="16"/>
      <c r="K30" s="12" t="s">
        <v>292</v>
      </c>
      <c r="L30" s="12" t="s">
        <v>194</v>
      </c>
      <c r="M30" s="16" t="s">
        <v>631</v>
      </c>
      <c r="N30" s="16"/>
      <c r="O30" s="12" t="s">
        <v>260</v>
      </c>
      <c r="P30" s="12" t="s">
        <v>160</v>
      </c>
      <c r="Q30" s="12" t="s">
        <v>30</v>
      </c>
      <c r="R30" s="16"/>
      <c r="S30" s="15" t="str">
        <f>"585.00w"</f>
        <v>585.00w</v>
      </c>
      <c r="T30" s="12" t="str">
        <f>"345,4425"</f>
        <v>345,4425</v>
      </c>
      <c r="U30" s="15"/>
    </row>
    <row r="31" spans="1:21">
      <c r="A31" s="17" t="s">
        <v>845</v>
      </c>
      <c r="B31" s="13" t="s">
        <v>846</v>
      </c>
      <c r="C31" s="13" t="s">
        <v>136</v>
      </c>
      <c r="D31" s="13" t="str">
        <f>"0,5905"</f>
        <v>0,5905</v>
      </c>
      <c r="E31" s="17" t="s">
        <v>28</v>
      </c>
      <c r="F31" s="17" t="s">
        <v>54</v>
      </c>
      <c r="G31" s="13" t="s">
        <v>180</v>
      </c>
      <c r="H31" s="18" t="s">
        <v>144</v>
      </c>
      <c r="I31" s="18" t="s">
        <v>144</v>
      </c>
      <c r="J31" s="18"/>
      <c r="K31" s="13" t="s">
        <v>292</v>
      </c>
      <c r="L31" s="13" t="s">
        <v>795</v>
      </c>
      <c r="M31" s="13" t="s">
        <v>676</v>
      </c>
      <c r="N31" s="18"/>
      <c r="O31" s="13" t="s">
        <v>260</v>
      </c>
      <c r="P31" s="13" t="s">
        <v>268</v>
      </c>
      <c r="Q31" s="18" t="s">
        <v>247</v>
      </c>
      <c r="R31" s="18"/>
      <c r="S31" s="17" t="str">
        <f>"532.50w"</f>
        <v>532.50w</v>
      </c>
      <c r="T31" s="13" t="str">
        <f>"314,4412"</f>
        <v>314,4412</v>
      </c>
      <c r="U31" s="17"/>
    </row>
    <row r="32" spans="1:21">
      <c r="A32" s="19" t="s">
        <v>848</v>
      </c>
      <c r="B32" s="14" t="s">
        <v>849</v>
      </c>
      <c r="C32" s="14" t="s">
        <v>602</v>
      </c>
      <c r="D32" s="14" t="str">
        <f>"0,5956"</f>
        <v>0,5956</v>
      </c>
      <c r="E32" s="19" t="s">
        <v>28</v>
      </c>
      <c r="F32" s="19" t="s">
        <v>19</v>
      </c>
      <c r="G32" s="20" t="s">
        <v>184</v>
      </c>
      <c r="H32" s="14" t="s">
        <v>260</v>
      </c>
      <c r="I32" s="20" t="s">
        <v>174</v>
      </c>
      <c r="J32" s="20"/>
      <c r="K32" s="20" t="s">
        <v>360</v>
      </c>
      <c r="L32" s="14" t="s">
        <v>360</v>
      </c>
      <c r="M32" s="20" t="s">
        <v>107</v>
      </c>
      <c r="N32" s="20"/>
      <c r="O32" s="14" t="s">
        <v>263</v>
      </c>
      <c r="P32" s="14" t="s">
        <v>166</v>
      </c>
      <c r="Q32" s="20" t="s">
        <v>200</v>
      </c>
      <c r="R32" s="20"/>
      <c r="S32" s="19" t="str">
        <f>"520,0"</f>
        <v>520,0</v>
      </c>
      <c r="T32" s="14" t="str">
        <f>"309,7120"</f>
        <v>309,7120</v>
      </c>
      <c r="U32" s="19"/>
    </row>
    <row r="34" spans="1:21" ht="15">
      <c r="A34" s="56" t="s">
        <v>23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1">
      <c r="A35" s="15" t="s">
        <v>851</v>
      </c>
      <c r="B35" s="12" t="s">
        <v>852</v>
      </c>
      <c r="C35" s="12" t="s">
        <v>853</v>
      </c>
      <c r="D35" s="12" t="str">
        <f>"0,5581"</f>
        <v>0,5581</v>
      </c>
      <c r="E35" s="15" t="s">
        <v>28</v>
      </c>
      <c r="F35" s="15" t="s">
        <v>19</v>
      </c>
      <c r="G35" s="12" t="s">
        <v>40</v>
      </c>
      <c r="H35" s="12" t="s">
        <v>268</v>
      </c>
      <c r="I35" s="12" t="s">
        <v>854</v>
      </c>
      <c r="J35" s="16"/>
      <c r="K35" s="12" t="s">
        <v>515</v>
      </c>
      <c r="L35" s="12" t="s">
        <v>262</v>
      </c>
      <c r="M35" s="16" t="s">
        <v>222</v>
      </c>
      <c r="N35" s="16"/>
      <c r="O35" s="12" t="s">
        <v>855</v>
      </c>
      <c r="P35" s="12" t="s">
        <v>48</v>
      </c>
      <c r="Q35" s="16" t="s">
        <v>49</v>
      </c>
      <c r="R35" s="16"/>
      <c r="S35" s="15" t="str">
        <f>"647.50w"</f>
        <v>647.50w</v>
      </c>
      <c r="T35" s="12" t="str">
        <f>"361,3697"</f>
        <v>361,3697</v>
      </c>
      <c r="U35" s="15"/>
    </row>
    <row r="36" spans="1:21">
      <c r="A36" s="17" t="s">
        <v>857</v>
      </c>
      <c r="B36" s="13" t="s">
        <v>858</v>
      </c>
      <c r="C36" s="13" t="s">
        <v>859</v>
      </c>
      <c r="D36" s="13" t="str">
        <f>"0,5633"</f>
        <v>0,5633</v>
      </c>
      <c r="E36" s="17" t="s">
        <v>28</v>
      </c>
      <c r="F36" s="17" t="s">
        <v>860</v>
      </c>
      <c r="G36" s="18" t="s">
        <v>184</v>
      </c>
      <c r="H36" s="13" t="s">
        <v>184</v>
      </c>
      <c r="I36" s="13" t="s">
        <v>661</v>
      </c>
      <c r="J36" s="18"/>
      <c r="K36" s="13" t="s">
        <v>116</v>
      </c>
      <c r="L36" s="13" t="s">
        <v>861</v>
      </c>
      <c r="M36" s="13" t="s">
        <v>180</v>
      </c>
      <c r="N36" s="18"/>
      <c r="O36" s="13" t="s">
        <v>40</v>
      </c>
      <c r="P36" s="13" t="s">
        <v>94</v>
      </c>
      <c r="Q36" s="13" t="s">
        <v>248</v>
      </c>
      <c r="R36" s="18"/>
      <c r="S36" s="17" t="str">
        <f>"625,0"</f>
        <v>625,0</v>
      </c>
      <c r="T36" s="13" t="str">
        <f>"352,0625"</f>
        <v>352,0625</v>
      </c>
      <c r="U36" s="17"/>
    </row>
    <row r="37" spans="1:21">
      <c r="A37" s="19" t="s">
        <v>863</v>
      </c>
      <c r="B37" s="14" t="s">
        <v>864</v>
      </c>
      <c r="C37" s="14" t="s">
        <v>865</v>
      </c>
      <c r="D37" s="14" t="str">
        <f>"0,5613"</f>
        <v>0,5613</v>
      </c>
      <c r="E37" s="19" t="s">
        <v>28</v>
      </c>
      <c r="F37" s="19" t="s">
        <v>866</v>
      </c>
      <c r="G37" s="14" t="s">
        <v>206</v>
      </c>
      <c r="H37" s="14" t="s">
        <v>180</v>
      </c>
      <c r="I37" s="14" t="s">
        <v>39</v>
      </c>
      <c r="J37" s="20"/>
      <c r="K37" s="14" t="s">
        <v>490</v>
      </c>
      <c r="L37" s="14" t="s">
        <v>647</v>
      </c>
      <c r="M37" s="20" t="s">
        <v>107</v>
      </c>
      <c r="N37" s="20"/>
      <c r="O37" s="14" t="s">
        <v>116</v>
      </c>
      <c r="P37" s="14" t="s">
        <v>207</v>
      </c>
      <c r="Q37" s="14" t="s">
        <v>152</v>
      </c>
      <c r="R37" s="20"/>
      <c r="S37" s="19" t="str">
        <f>"467.50w"</f>
        <v>467.50w</v>
      </c>
      <c r="T37" s="14" t="str">
        <f>"262,4077"</f>
        <v>262,4077</v>
      </c>
      <c r="U37" s="19"/>
    </row>
    <row r="39" spans="1:21" ht="15">
      <c r="A39" s="56" t="s">
        <v>33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1">
      <c r="A40" s="15" t="s">
        <v>867</v>
      </c>
      <c r="B40" s="12" t="s">
        <v>402</v>
      </c>
      <c r="C40" s="12" t="s">
        <v>403</v>
      </c>
      <c r="D40" s="12" t="str">
        <f>"0,5392"</f>
        <v>0,5392</v>
      </c>
      <c r="E40" s="15" t="s">
        <v>28</v>
      </c>
      <c r="F40" s="15" t="s">
        <v>19</v>
      </c>
      <c r="G40" s="16" t="s">
        <v>144</v>
      </c>
      <c r="H40" s="16"/>
      <c r="I40" s="16"/>
      <c r="J40" s="16"/>
      <c r="K40" s="16" t="s">
        <v>423</v>
      </c>
      <c r="L40" s="16"/>
      <c r="M40" s="16"/>
      <c r="N40" s="16"/>
      <c r="O40" s="16" t="s">
        <v>144</v>
      </c>
      <c r="P40" s="16"/>
      <c r="Q40" s="16"/>
      <c r="R40" s="16"/>
      <c r="S40" s="15" t="str">
        <f>"0.00"</f>
        <v>0.00</v>
      </c>
      <c r="T40" s="12" t="str">
        <f>"0,0000"</f>
        <v>0,0000</v>
      </c>
      <c r="U40" s="15"/>
    </row>
    <row r="41" spans="1:21">
      <c r="A41" s="17" t="s">
        <v>869</v>
      </c>
      <c r="B41" s="13" t="s">
        <v>870</v>
      </c>
      <c r="C41" s="13" t="s">
        <v>189</v>
      </c>
      <c r="D41" s="13" t="str">
        <f>"0,5373"</f>
        <v>0,5373</v>
      </c>
      <c r="E41" s="17" t="s">
        <v>28</v>
      </c>
      <c r="F41" s="17" t="s">
        <v>165</v>
      </c>
      <c r="G41" s="18" t="s">
        <v>22</v>
      </c>
      <c r="H41" s="18" t="s">
        <v>22</v>
      </c>
      <c r="I41" s="13" t="s">
        <v>180</v>
      </c>
      <c r="J41" s="18"/>
      <c r="K41" s="13" t="s">
        <v>871</v>
      </c>
      <c r="L41" s="13" t="s">
        <v>872</v>
      </c>
      <c r="M41" s="13" t="s">
        <v>801</v>
      </c>
      <c r="N41" s="18"/>
      <c r="O41" s="13" t="s">
        <v>206</v>
      </c>
      <c r="P41" s="13" t="s">
        <v>873</v>
      </c>
      <c r="Q41" s="13" t="s">
        <v>39</v>
      </c>
      <c r="R41" s="18"/>
      <c r="S41" s="17" t="str">
        <f>"442.50w"</f>
        <v>442.50w</v>
      </c>
      <c r="T41" s="13" t="str">
        <f>"237,7552"</f>
        <v>237,7552</v>
      </c>
      <c r="U41" s="17"/>
    </row>
    <row r="42" spans="1:21">
      <c r="A42" s="17" t="s">
        <v>875</v>
      </c>
      <c r="B42" s="13" t="s">
        <v>876</v>
      </c>
      <c r="C42" s="13" t="s">
        <v>183</v>
      </c>
      <c r="D42" s="13" t="str">
        <f>"0,5368"</f>
        <v>0,5368</v>
      </c>
      <c r="E42" s="17" t="s">
        <v>28</v>
      </c>
      <c r="F42" s="17" t="s">
        <v>47</v>
      </c>
      <c r="G42" s="13" t="s">
        <v>41</v>
      </c>
      <c r="H42" s="13" t="s">
        <v>31</v>
      </c>
      <c r="I42" s="18" t="s">
        <v>89</v>
      </c>
      <c r="J42" s="18"/>
      <c r="K42" s="13" t="s">
        <v>194</v>
      </c>
      <c r="L42" s="18" t="s">
        <v>208</v>
      </c>
      <c r="M42" s="13" t="s">
        <v>115</v>
      </c>
      <c r="N42" s="18"/>
      <c r="O42" s="13" t="s">
        <v>160</v>
      </c>
      <c r="P42" s="18" t="s">
        <v>877</v>
      </c>
      <c r="Q42" s="18" t="s">
        <v>248</v>
      </c>
      <c r="R42" s="18"/>
      <c r="S42" s="17" t="str">
        <f>"620.00w"</f>
        <v>620.00w</v>
      </c>
      <c r="T42" s="13" t="str">
        <f>"332,8160"</f>
        <v>332,8160</v>
      </c>
      <c r="U42" s="17"/>
    </row>
    <row r="43" spans="1:21">
      <c r="A43" s="19" t="s">
        <v>879</v>
      </c>
      <c r="B43" s="14" t="s">
        <v>880</v>
      </c>
      <c r="C43" s="14" t="s">
        <v>881</v>
      </c>
      <c r="D43" s="14" t="str">
        <f>"0,5479"</f>
        <v>0,5479</v>
      </c>
      <c r="E43" s="19" t="s">
        <v>28</v>
      </c>
      <c r="F43" s="19" t="s">
        <v>19</v>
      </c>
      <c r="G43" s="14" t="s">
        <v>207</v>
      </c>
      <c r="H43" s="14" t="s">
        <v>144</v>
      </c>
      <c r="I43" s="14" t="s">
        <v>217</v>
      </c>
      <c r="J43" s="20"/>
      <c r="K43" s="14" t="s">
        <v>291</v>
      </c>
      <c r="L43" s="14" t="s">
        <v>131</v>
      </c>
      <c r="M43" s="14" t="s">
        <v>20</v>
      </c>
      <c r="N43" s="20"/>
      <c r="O43" s="14" t="s">
        <v>207</v>
      </c>
      <c r="P43" s="14" t="s">
        <v>144</v>
      </c>
      <c r="Q43" s="14" t="s">
        <v>173</v>
      </c>
      <c r="R43" s="20"/>
      <c r="S43" s="19" t="str">
        <f>"532,5"</f>
        <v>532,5</v>
      </c>
      <c r="T43" s="14" t="str">
        <f>"291,7568"</f>
        <v>291,7568</v>
      </c>
      <c r="U43" s="19"/>
    </row>
    <row r="45" spans="1:21" ht="15">
      <c r="A45" s="56" t="s">
        <v>42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1">
      <c r="A46" s="15" t="s">
        <v>883</v>
      </c>
      <c r="B46" s="12" t="s">
        <v>884</v>
      </c>
      <c r="C46" s="12" t="s">
        <v>885</v>
      </c>
      <c r="D46" s="12" t="str">
        <f>"0,5276"</f>
        <v>0,5276</v>
      </c>
      <c r="E46" s="15" t="s">
        <v>28</v>
      </c>
      <c r="F46" s="15" t="s">
        <v>886</v>
      </c>
      <c r="G46" s="12" t="s">
        <v>49</v>
      </c>
      <c r="H46" s="12" t="s">
        <v>887</v>
      </c>
      <c r="I46" s="12" t="s">
        <v>888</v>
      </c>
      <c r="J46" s="16"/>
      <c r="K46" s="12" t="s">
        <v>194</v>
      </c>
      <c r="L46" s="12" t="s">
        <v>115</v>
      </c>
      <c r="M46" s="12" t="s">
        <v>116</v>
      </c>
      <c r="N46" s="16"/>
      <c r="O46" s="12" t="s">
        <v>32</v>
      </c>
      <c r="P46" s="12" t="s">
        <v>285</v>
      </c>
      <c r="Q46" s="12" t="s">
        <v>889</v>
      </c>
      <c r="R46" s="16"/>
      <c r="S46" s="15" t="str">
        <f>"755.00w"</f>
        <v>755.00w</v>
      </c>
      <c r="T46" s="12" t="str">
        <f>"398,3380"</f>
        <v>398,3380</v>
      </c>
      <c r="U46" s="15"/>
    </row>
    <row r="47" spans="1:21">
      <c r="A47" s="19" t="s">
        <v>891</v>
      </c>
      <c r="B47" s="14" t="s">
        <v>892</v>
      </c>
      <c r="C47" s="14" t="s">
        <v>893</v>
      </c>
      <c r="D47" s="14" t="str">
        <f>"0,5334"</f>
        <v>0,5334</v>
      </c>
      <c r="E47" s="19" t="s">
        <v>28</v>
      </c>
      <c r="F47" s="19" t="s">
        <v>894</v>
      </c>
      <c r="G47" s="14" t="s">
        <v>515</v>
      </c>
      <c r="H47" s="14" t="s">
        <v>270</v>
      </c>
      <c r="I47" s="14" t="s">
        <v>585</v>
      </c>
      <c r="J47" s="20"/>
      <c r="K47" s="14" t="s">
        <v>456</v>
      </c>
      <c r="L47" s="14" t="s">
        <v>107</v>
      </c>
      <c r="M47" s="20" t="s">
        <v>108</v>
      </c>
      <c r="N47" s="20"/>
      <c r="O47" s="14" t="s">
        <v>206</v>
      </c>
      <c r="P47" s="14" t="s">
        <v>179</v>
      </c>
      <c r="Q47" s="14" t="s">
        <v>144</v>
      </c>
      <c r="R47" s="20"/>
      <c r="S47" s="19" t="str">
        <f>"452,5"</f>
        <v>452,5</v>
      </c>
      <c r="T47" s="14" t="str">
        <f>"241,3635"</f>
        <v>241,3635</v>
      </c>
      <c r="U47" s="19" t="s">
        <v>895</v>
      </c>
    </row>
    <row r="49" spans="1:5" ht="15">
      <c r="E49" s="21" t="s">
        <v>69</v>
      </c>
    </row>
    <row r="50" spans="1:5" ht="15">
      <c r="E50" s="21" t="s">
        <v>70</v>
      </c>
    </row>
    <row r="51" spans="1:5" ht="15">
      <c r="E51" s="21" t="s">
        <v>71</v>
      </c>
    </row>
    <row r="52" spans="1:5">
      <c r="E52" s="4" t="s">
        <v>72</v>
      </c>
    </row>
    <row r="53" spans="1:5">
      <c r="E53" s="4" t="s">
        <v>73</v>
      </c>
    </row>
    <row r="54" spans="1:5">
      <c r="E54" s="4" t="s">
        <v>74</v>
      </c>
    </row>
    <row r="57" spans="1:5" ht="18">
      <c r="A57" s="22" t="s">
        <v>75</v>
      </c>
      <c r="B57" s="23"/>
    </row>
    <row r="58" spans="1:5" ht="15">
      <c r="A58" s="24" t="s">
        <v>76</v>
      </c>
      <c r="B58" s="25"/>
    </row>
    <row r="59" spans="1:5" ht="14.25">
      <c r="A59" s="27"/>
      <c r="B59" s="28" t="s">
        <v>84</v>
      </c>
    </row>
    <row r="60" spans="1:5" ht="15">
      <c r="A60" s="29" t="s">
        <v>0</v>
      </c>
      <c r="B60" s="29" t="s">
        <v>78</v>
      </c>
      <c r="C60" s="29" t="s">
        <v>79</v>
      </c>
      <c r="D60" s="29" t="s">
        <v>80</v>
      </c>
      <c r="E60" s="29" t="s">
        <v>11</v>
      </c>
    </row>
    <row r="61" spans="1:5">
      <c r="A61" s="26" t="s">
        <v>780</v>
      </c>
      <c r="B61" s="5" t="s">
        <v>85</v>
      </c>
      <c r="C61" s="5" t="s">
        <v>429</v>
      </c>
      <c r="D61" s="5" t="s">
        <v>300</v>
      </c>
      <c r="E61" s="30" t="s">
        <v>896</v>
      </c>
    </row>
    <row r="63" spans="1:5" ht="14.25">
      <c r="A63" s="27"/>
      <c r="B63" s="28" t="s">
        <v>77</v>
      </c>
    </row>
    <row r="64" spans="1:5" ht="15">
      <c r="A64" s="29" t="s">
        <v>0</v>
      </c>
      <c r="B64" s="29" t="s">
        <v>78</v>
      </c>
      <c r="C64" s="29" t="s">
        <v>79</v>
      </c>
      <c r="D64" s="29" t="s">
        <v>80</v>
      </c>
      <c r="E64" s="29" t="s">
        <v>11</v>
      </c>
    </row>
    <row r="65" spans="1:5">
      <c r="A65" s="26" t="s">
        <v>789</v>
      </c>
      <c r="B65" s="5" t="s">
        <v>77</v>
      </c>
      <c r="C65" s="5" t="s">
        <v>429</v>
      </c>
      <c r="D65" s="5" t="s">
        <v>419</v>
      </c>
      <c r="E65" s="30" t="s">
        <v>897</v>
      </c>
    </row>
    <row r="66" spans="1:5">
      <c r="A66" s="26" t="s">
        <v>820</v>
      </c>
      <c r="B66" s="5" t="s">
        <v>77</v>
      </c>
      <c r="C66" s="5" t="s">
        <v>221</v>
      </c>
      <c r="D66" s="5" t="s">
        <v>898</v>
      </c>
      <c r="E66" s="30" t="s">
        <v>899</v>
      </c>
    </row>
    <row r="67" spans="1:5">
      <c r="A67" s="26" t="s">
        <v>796</v>
      </c>
      <c r="B67" s="5" t="s">
        <v>77</v>
      </c>
      <c r="C67" s="5" t="s">
        <v>81</v>
      </c>
      <c r="D67" s="5" t="s">
        <v>56</v>
      </c>
      <c r="E67" s="30" t="s">
        <v>900</v>
      </c>
    </row>
    <row r="68" spans="1:5">
      <c r="A68" s="26" t="s">
        <v>813</v>
      </c>
      <c r="B68" s="5" t="s">
        <v>77</v>
      </c>
      <c r="C68" s="5" t="s">
        <v>432</v>
      </c>
      <c r="D68" s="5" t="s">
        <v>98</v>
      </c>
      <c r="E68" s="30" t="s">
        <v>901</v>
      </c>
    </row>
    <row r="70" spans="1:5" ht="14.25">
      <c r="A70" s="27"/>
      <c r="B70" s="28" t="s">
        <v>96</v>
      </c>
    </row>
    <row r="71" spans="1:5" ht="15">
      <c r="A71" s="29" t="s">
        <v>0</v>
      </c>
      <c r="B71" s="29" t="s">
        <v>78</v>
      </c>
      <c r="C71" s="29" t="s">
        <v>79</v>
      </c>
      <c r="D71" s="29" t="s">
        <v>80</v>
      </c>
      <c r="E71" s="29" t="s">
        <v>11</v>
      </c>
    </row>
    <row r="72" spans="1:5">
      <c r="A72" s="26" t="s">
        <v>805</v>
      </c>
      <c r="B72" s="5" t="s">
        <v>311</v>
      </c>
      <c r="C72" s="5" t="s">
        <v>81</v>
      </c>
      <c r="D72" s="5" t="s">
        <v>366</v>
      </c>
      <c r="E72" s="30" t="s">
        <v>902</v>
      </c>
    </row>
    <row r="75" spans="1:5" ht="15">
      <c r="A75" s="24" t="s">
        <v>83</v>
      </c>
      <c r="B75" s="25"/>
    </row>
    <row r="76" spans="1:5" ht="14.25">
      <c r="A76" s="27"/>
      <c r="B76" s="28" t="s">
        <v>434</v>
      </c>
    </row>
    <row r="77" spans="1:5" ht="15">
      <c r="A77" s="29" t="s">
        <v>0</v>
      </c>
      <c r="B77" s="29" t="s">
        <v>78</v>
      </c>
      <c r="C77" s="29" t="s">
        <v>79</v>
      </c>
      <c r="D77" s="29" t="s">
        <v>80</v>
      </c>
      <c r="E77" s="29" t="s">
        <v>11</v>
      </c>
    </row>
    <row r="78" spans="1:5">
      <c r="A78" s="26" t="s">
        <v>868</v>
      </c>
      <c r="B78" s="5" t="s">
        <v>437</v>
      </c>
      <c r="C78" s="5" t="s">
        <v>93</v>
      </c>
      <c r="D78" s="5" t="s">
        <v>903</v>
      </c>
      <c r="E78" s="30" t="s">
        <v>904</v>
      </c>
    </row>
    <row r="80" spans="1:5" ht="14.25">
      <c r="A80" s="27"/>
      <c r="B80" s="28" t="s">
        <v>84</v>
      </c>
    </row>
    <row r="81" spans="1:5" ht="15">
      <c r="A81" s="29" t="s">
        <v>0</v>
      </c>
      <c r="B81" s="29" t="s">
        <v>78</v>
      </c>
      <c r="C81" s="29" t="s">
        <v>79</v>
      </c>
      <c r="D81" s="29" t="s">
        <v>80</v>
      </c>
      <c r="E81" s="29" t="s">
        <v>11</v>
      </c>
    </row>
    <row r="82" spans="1:5">
      <c r="A82" s="26" t="s">
        <v>829</v>
      </c>
      <c r="B82" s="5" t="s">
        <v>85</v>
      </c>
      <c r="C82" s="5" t="s">
        <v>432</v>
      </c>
      <c r="D82" s="5" t="s">
        <v>905</v>
      </c>
      <c r="E82" s="30" t="s">
        <v>906</v>
      </c>
    </row>
    <row r="84" spans="1:5" ht="14.25">
      <c r="A84" s="27"/>
      <c r="B84" s="28" t="s">
        <v>77</v>
      </c>
    </row>
    <row r="85" spans="1:5" ht="15">
      <c r="A85" s="29" t="s">
        <v>0</v>
      </c>
      <c r="B85" s="29" t="s">
        <v>78</v>
      </c>
      <c r="C85" s="29" t="s">
        <v>79</v>
      </c>
      <c r="D85" s="29" t="s">
        <v>80</v>
      </c>
      <c r="E85" s="29" t="s">
        <v>11</v>
      </c>
    </row>
    <row r="86" spans="1:5">
      <c r="A86" s="26" t="s">
        <v>882</v>
      </c>
      <c r="B86" s="5" t="s">
        <v>77</v>
      </c>
      <c r="C86" s="5" t="s">
        <v>86</v>
      </c>
      <c r="D86" s="5" t="s">
        <v>907</v>
      </c>
      <c r="E86" s="30" t="s">
        <v>908</v>
      </c>
    </row>
    <row r="87" spans="1:5">
      <c r="A87" s="26" t="s">
        <v>850</v>
      </c>
      <c r="B87" s="5" t="s">
        <v>77</v>
      </c>
      <c r="C87" s="5" t="s">
        <v>88</v>
      </c>
      <c r="D87" s="5" t="s">
        <v>909</v>
      </c>
      <c r="E87" s="30" t="s">
        <v>910</v>
      </c>
    </row>
    <row r="88" spans="1:5">
      <c r="A88" s="26" t="s">
        <v>856</v>
      </c>
      <c r="B88" s="5" t="s">
        <v>77</v>
      </c>
      <c r="C88" s="5" t="s">
        <v>88</v>
      </c>
      <c r="D88" s="5" t="s">
        <v>911</v>
      </c>
      <c r="E88" s="30" t="s">
        <v>912</v>
      </c>
    </row>
    <row r="89" spans="1:5">
      <c r="A89" s="26" t="s">
        <v>841</v>
      </c>
      <c r="B89" s="5" t="s">
        <v>77</v>
      </c>
      <c r="C89" s="5" t="s">
        <v>214</v>
      </c>
      <c r="D89" s="5" t="s">
        <v>913</v>
      </c>
      <c r="E89" s="30" t="s">
        <v>914</v>
      </c>
    </row>
    <row r="90" spans="1:5">
      <c r="A90" s="26" t="s">
        <v>825</v>
      </c>
      <c r="B90" s="5" t="s">
        <v>77</v>
      </c>
      <c r="C90" s="5" t="s">
        <v>81</v>
      </c>
      <c r="D90" s="5" t="s">
        <v>915</v>
      </c>
      <c r="E90" s="30" t="s">
        <v>916</v>
      </c>
    </row>
    <row r="91" spans="1:5">
      <c r="A91" s="26" t="s">
        <v>874</v>
      </c>
      <c r="B91" s="5" t="s">
        <v>77</v>
      </c>
      <c r="C91" s="5" t="s">
        <v>93</v>
      </c>
      <c r="D91" s="5" t="s">
        <v>917</v>
      </c>
      <c r="E91" s="30" t="s">
        <v>918</v>
      </c>
    </row>
    <row r="92" spans="1:5">
      <c r="A92" s="26" t="s">
        <v>844</v>
      </c>
      <c r="B92" s="5" t="s">
        <v>77</v>
      </c>
      <c r="C92" s="5" t="s">
        <v>214</v>
      </c>
      <c r="D92" s="5" t="s">
        <v>919</v>
      </c>
      <c r="E92" s="30" t="s">
        <v>920</v>
      </c>
    </row>
    <row r="93" spans="1:5">
      <c r="A93" s="26" t="s">
        <v>847</v>
      </c>
      <c r="B93" s="5" t="s">
        <v>77</v>
      </c>
      <c r="C93" s="5" t="s">
        <v>214</v>
      </c>
      <c r="D93" s="5" t="s">
        <v>921</v>
      </c>
      <c r="E93" s="30" t="s">
        <v>922</v>
      </c>
    </row>
    <row r="94" spans="1:5">
      <c r="A94" s="26" t="s">
        <v>878</v>
      </c>
      <c r="B94" s="5" t="s">
        <v>77</v>
      </c>
      <c r="C94" s="5" t="s">
        <v>93</v>
      </c>
      <c r="D94" s="5" t="s">
        <v>919</v>
      </c>
      <c r="E94" s="30" t="s">
        <v>923</v>
      </c>
    </row>
    <row r="95" spans="1:5">
      <c r="A95" s="26" t="s">
        <v>835</v>
      </c>
      <c r="B95" s="5" t="s">
        <v>77</v>
      </c>
      <c r="C95" s="5" t="s">
        <v>221</v>
      </c>
      <c r="D95" s="5" t="s">
        <v>924</v>
      </c>
      <c r="E95" s="30" t="s">
        <v>925</v>
      </c>
    </row>
    <row r="96" spans="1:5">
      <c r="A96" s="26" t="s">
        <v>862</v>
      </c>
      <c r="B96" s="5" t="s">
        <v>77</v>
      </c>
      <c r="C96" s="5" t="s">
        <v>88</v>
      </c>
      <c r="D96" s="5" t="s">
        <v>926</v>
      </c>
      <c r="E96" s="30" t="s">
        <v>927</v>
      </c>
    </row>
    <row r="97" spans="1:5">
      <c r="A97" s="26" t="s">
        <v>838</v>
      </c>
      <c r="B97" s="5" t="s">
        <v>77</v>
      </c>
      <c r="C97" s="5" t="s">
        <v>221</v>
      </c>
      <c r="D97" s="5" t="s">
        <v>928</v>
      </c>
      <c r="E97" s="30" t="s">
        <v>929</v>
      </c>
    </row>
    <row r="98" spans="1:5">
      <c r="A98" s="26" t="s">
        <v>890</v>
      </c>
      <c r="B98" s="5" t="s">
        <v>77</v>
      </c>
      <c r="C98" s="5" t="s">
        <v>86</v>
      </c>
      <c r="D98" s="5" t="s">
        <v>930</v>
      </c>
      <c r="E98" s="30" t="s">
        <v>931</v>
      </c>
    </row>
  </sheetData>
  <mergeCells count="24">
    <mergeCell ref="A39:T39"/>
    <mergeCell ref="A45:T45"/>
    <mergeCell ref="A16:T16"/>
    <mergeCell ref="A19:T19"/>
    <mergeCell ref="A22:T22"/>
    <mergeCell ref="A25:T25"/>
    <mergeCell ref="A29:T29"/>
    <mergeCell ref="A34:T34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1104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342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15" t="s">
        <v>774</v>
      </c>
      <c r="B6" s="12" t="s">
        <v>775</v>
      </c>
      <c r="C6" s="12" t="s">
        <v>776</v>
      </c>
      <c r="D6" s="12" t="str">
        <f>"0,7453"</f>
        <v>0,7453</v>
      </c>
      <c r="E6" s="15" t="s">
        <v>28</v>
      </c>
      <c r="F6" s="15" t="s">
        <v>777</v>
      </c>
      <c r="G6" s="12" t="s">
        <v>261</v>
      </c>
      <c r="H6" s="12" t="s">
        <v>515</v>
      </c>
      <c r="I6" s="16" t="s">
        <v>20</v>
      </c>
      <c r="J6" s="16"/>
      <c r="K6" s="15" t="str">
        <f>"135,0"</f>
        <v>135,0</v>
      </c>
      <c r="L6" s="12" t="str">
        <f>"100,6155"</f>
        <v>100,6155</v>
      </c>
      <c r="M6" s="15"/>
    </row>
    <row r="7" spans="1:13" s="5" customFormat="1">
      <c r="A7" s="19" t="s">
        <v>774</v>
      </c>
      <c r="B7" s="14" t="s">
        <v>778</v>
      </c>
      <c r="C7" s="14" t="s">
        <v>776</v>
      </c>
      <c r="D7" s="14" t="str">
        <f>"0,7453"</f>
        <v>0,7453</v>
      </c>
      <c r="E7" s="19" t="s">
        <v>28</v>
      </c>
      <c r="F7" s="19" t="s">
        <v>777</v>
      </c>
      <c r="G7" s="14" t="s">
        <v>261</v>
      </c>
      <c r="H7" s="14" t="s">
        <v>515</v>
      </c>
      <c r="I7" s="20" t="s">
        <v>20</v>
      </c>
      <c r="J7" s="20"/>
      <c r="K7" s="19" t="str">
        <f>"135,0"</f>
        <v>135,0</v>
      </c>
      <c r="L7" s="14" t="str">
        <f>"100,6155"</f>
        <v>100,6155</v>
      </c>
      <c r="M7" s="19"/>
    </row>
    <row r="9" spans="1:13" ht="15">
      <c r="E9" s="21" t="s">
        <v>69</v>
      </c>
    </row>
    <row r="10" spans="1:13" ht="15">
      <c r="E10" s="21" t="s">
        <v>70</v>
      </c>
    </row>
    <row r="11" spans="1:13" ht="15">
      <c r="E11" s="21" t="s">
        <v>71</v>
      </c>
    </row>
    <row r="12" spans="1:13">
      <c r="E12" s="4" t="s">
        <v>72</v>
      </c>
    </row>
    <row r="13" spans="1:13">
      <c r="E13" s="4" t="s">
        <v>73</v>
      </c>
    </row>
    <row r="14" spans="1:13">
      <c r="E14" s="4" t="s">
        <v>74</v>
      </c>
    </row>
    <row r="17" spans="1:5" ht="18">
      <c r="A17" s="22" t="s">
        <v>75</v>
      </c>
      <c r="B17" s="23"/>
    </row>
    <row r="18" spans="1:5" ht="15">
      <c r="A18" s="24" t="s">
        <v>76</v>
      </c>
      <c r="B18" s="25"/>
    </row>
    <row r="19" spans="1:5" ht="14.25">
      <c r="A19" s="27"/>
      <c r="B19" s="28" t="s">
        <v>77</v>
      </c>
    </row>
    <row r="20" spans="1:5" ht="15">
      <c r="A20" s="29" t="s">
        <v>0</v>
      </c>
      <c r="B20" s="29" t="s">
        <v>78</v>
      </c>
      <c r="C20" s="29" t="s">
        <v>79</v>
      </c>
      <c r="D20" s="29" t="s">
        <v>80</v>
      </c>
      <c r="E20" s="29" t="s">
        <v>11</v>
      </c>
    </row>
    <row r="21" spans="1:5">
      <c r="A21" s="26" t="s">
        <v>773</v>
      </c>
      <c r="B21" s="5" t="s">
        <v>77</v>
      </c>
      <c r="C21" s="5" t="s">
        <v>432</v>
      </c>
      <c r="D21" s="5" t="s">
        <v>537</v>
      </c>
      <c r="E21" s="30" t="s">
        <v>779</v>
      </c>
    </row>
    <row r="23" spans="1:5" ht="14.25">
      <c r="A23" s="27"/>
      <c r="B23" s="28" t="s">
        <v>448</v>
      </c>
    </row>
    <row r="24" spans="1:5" ht="15">
      <c r="A24" s="29" t="s">
        <v>0</v>
      </c>
      <c r="B24" s="29" t="s">
        <v>78</v>
      </c>
      <c r="C24" s="29" t="s">
        <v>79</v>
      </c>
      <c r="D24" s="29" t="s">
        <v>80</v>
      </c>
      <c r="E24" s="29" t="s">
        <v>11</v>
      </c>
    </row>
    <row r="25" spans="1:5">
      <c r="A25" s="26" t="s">
        <v>773</v>
      </c>
      <c r="B25" s="5" t="s">
        <v>449</v>
      </c>
      <c r="C25" s="5" t="s">
        <v>432</v>
      </c>
      <c r="D25" s="5" t="s">
        <v>537</v>
      </c>
      <c r="E25" s="30" t="s">
        <v>779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5.5703125" style="5" bestFit="1" customWidth="1"/>
    <col min="9" max="9" width="2.1406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5" t="s">
        <v>1105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s="2" customFormat="1" ht="62.1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2.75" customHeight="1">
      <c r="A3" s="51" t="s">
        <v>0</v>
      </c>
      <c r="B3" s="53" t="s">
        <v>10</v>
      </c>
      <c r="C3" s="53" t="s">
        <v>8</v>
      </c>
      <c r="D3" s="39" t="s">
        <v>11</v>
      </c>
      <c r="E3" s="39" t="s">
        <v>1</v>
      </c>
      <c r="F3" s="54" t="s">
        <v>12</v>
      </c>
      <c r="G3" s="51" t="s">
        <v>3</v>
      </c>
      <c r="H3" s="39"/>
      <c r="I3" s="39"/>
      <c r="J3" s="41"/>
      <c r="K3" s="37" t="s">
        <v>100</v>
      </c>
      <c r="L3" s="39" t="s">
        <v>6</v>
      </c>
      <c r="M3" s="41" t="s">
        <v>5</v>
      </c>
    </row>
    <row r="4" spans="1:13" s="1" customFormat="1" ht="23.25" customHeight="1" thickBot="1">
      <c r="A4" s="52"/>
      <c r="B4" s="40"/>
      <c r="C4" s="40"/>
      <c r="D4" s="40"/>
      <c r="E4" s="40"/>
      <c r="F4" s="55"/>
      <c r="G4" s="6">
        <v>1</v>
      </c>
      <c r="H4" s="7">
        <v>2</v>
      </c>
      <c r="I4" s="7">
        <v>3</v>
      </c>
      <c r="J4" s="8" t="s">
        <v>7</v>
      </c>
      <c r="K4" s="38"/>
      <c r="L4" s="40"/>
      <c r="M4" s="42"/>
    </row>
    <row r="5" spans="1:13" s="5" customFormat="1" ht="15">
      <c r="A5" s="43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</row>
    <row r="6" spans="1:13" s="5" customFormat="1">
      <c r="A6" s="9" t="s">
        <v>769</v>
      </c>
      <c r="B6" s="10" t="s">
        <v>770</v>
      </c>
      <c r="C6" s="10" t="s">
        <v>771</v>
      </c>
      <c r="D6" s="10" t="str">
        <f>"0,8159"</f>
        <v>0,8159</v>
      </c>
      <c r="E6" s="9" t="s">
        <v>105</v>
      </c>
      <c r="F6" s="9" t="s">
        <v>106</v>
      </c>
      <c r="G6" s="10" t="s">
        <v>533</v>
      </c>
      <c r="H6" s="10" t="s">
        <v>360</v>
      </c>
      <c r="I6" s="11"/>
      <c r="J6" s="11"/>
      <c r="K6" s="9" t="str">
        <f>"115,0"</f>
        <v>115,0</v>
      </c>
      <c r="L6" s="10" t="str">
        <f>"93,8285"</f>
        <v>93,8285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E8" s="21" t="s">
        <v>69</v>
      </c>
    </row>
    <row r="9" spans="1:13" ht="15">
      <c r="E9" s="21" t="s">
        <v>70</v>
      </c>
    </row>
    <row r="10" spans="1:13" ht="15">
      <c r="E10" s="21" t="s">
        <v>71</v>
      </c>
    </row>
    <row r="11" spans="1:13">
      <c r="E11" s="4" t="s">
        <v>72</v>
      </c>
    </row>
    <row r="12" spans="1:13">
      <c r="E12" s="4" t="s">
        <v>73</v>
      </c>
    </row>
    <row r="13" spans="1:13">
      <c r="E13" s="4" t="s">
        <v>74</v>
      </c>
    </row>
    <row r="16" spans="1:13" ht="18">
      <c r="A16" s="22" t="s">
        <v>75</v>
      </c>
      <c r="B16" s="23"/>
    </row>
    <row r="17" spans="1:5" ht="15">
      <c r="A17" s="24" t="s">
        <v>76</v>
      </c>
      <c r="B17" s="25"/>
    </row>
    <row r="18" spans="1:5" ht="14.25">
      <c r="A18" s="27"/>
      <c r="B18" s="28" t="s">
        <v>77</v>
      </c>
    </row>
    <row r="19" spans="1:5" ht="15">
      <c r="A19" s="29" t="s">
        <v>0</v>
      </c>
      <c r="B19" s="29" t="s">
        <v>78</v>
      </c>
      <c r="C19" s="29" t="s">
        <v>79</v>
      </c>
      <c r="D19" s="29" t="s">
        <v>80</v>
      </c>
      <c r="E19" s="29" t="s">
        <v>11</v>
      </c>
    </row>
    <row r="20" spans="1:5">
      <c r="A20" s="26" t="s">
        <v>768</v>
      </c>
      <c r="B20" s="5" t="s">
        <v>77</v>
      </c>
      <c r="C20" s="5" t="s">
        <v>81</v>
      </c>
      <c r="D20" s="5" t="s">
        <v>360</v>
      </c>
      <c r="E20" s="30" t="s">
        <v>772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AWPC mpl.soft eq. BP</vt:lpstr>
      <vt:lpstr>AWPC std.soft eq. BP</vt:lpstr>
      <vt:lpstr>WPC std.soft eq. BP</vt:lpstr>
      <vt:lpstr>Multy-reperat BP 1_2 bw. dt.</vt:lpstr>
      <vt:lpstr>Multy-reperat 1 bw. dt.</vt:lpstr>
      <vt:lpstr>Multy-reperat BP 1 bw.</vt:lpstr>
      <vt:lpstr>AWPA raw PL</vt:lpstr>
      <vt:lpstr>AWPA m.ply BP</vt:lpstr>
      <vt:lpstr>AWPA s.ply BP</vt:lpstr>
      <vt:lpstr>AWPA raw BP</vt:lpstr>
      <vt:lpstr>AWPA s.ply DL</vt:lpstr>
      <vt:lpstr>AWPA raw DL</vt:lpstr>
      <vt:lpstr>WPA raw PL</vt:lpstr>
      <vt:lpstr>WPA m.ply BP</vt:lpstr>
      <vt:lpstr>WPA s.ply BP</vt:lpstr>
      <vt:lpstr>WPA raw BP</vt:lpstr>
      <vt:lpstr>WPA raw DL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2019-06-17T18:59:06Z</dcterms:modified>
</cp:coreProperties>
</file>