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 firstSheet="13" activeTab="17"/>
  </bookViews>
  <sheets>
    <sheet name="AWPC НЖ 1 вес" sheetId="18" r:id="rId1"/>
    <sheet name="WPC НЖ 1 вес" sheetId="19" r:id="rId2"/>
    <sheet name="Excalibur" sheetId="2" r:id="rId3"/>
    <sheet name="Rus brick" sheetId="3" r:id="rId4"/>
    <sheet name="Rus HUB" sheetId="4" r:id="rId5"/>
    <sheet name="Rus Axle" sheetId="5" r:id="rId6"/>
    <sheet name="Rus Roullette" sheetId="6" r:id="rId7"/>
    <sheet name="AWPC стр. под.на биц" sheetId="7" r:id="rId8"/>
    <sheet name="AWPC б_э тяга" sheetId="8" r:id="rId9"/>
    <sheet name="WPC б_э тяга" sheetId="9" r:id="rId10"/>
    <sheet name="AWPC ст. софт эк. жим" sheetId="10" r:id="rId11"/>
    <sheet name="AWPC жим стоя" sheetId="11" r:id="rId12"/>
    <sheet name="AWPC б_э жим" sheetId="12" r:id="rId13"/>
    <sheet name="AWPC Класс. ПЛ" sheetId="13" r:id="rId14"/>
    <sheet name="AWPC б_э ПЛ" sheetId="14" r:id="rId15"/>
    <sheet name="WPC ст. софт эк. жим" sheetId="15" r:id="rId16"/>
    <sheet name="WPC б_э жим" sheetId="16" r:id="rId17"/>
    <sheet name="WPC б_э ПЛ" sheetId="17" r:id="rId18"/>
  </sheets>
  <definedNames>
    <definedName name="_xlnm._FilterDatabase" localSheetId="6" hidden="1">'Rus Roullette'!$A$1:$J$3</definedName>
    <definedName name="_xlnm._FilterDatabase" localSheetId="1" hidden="1">'WPC НЖ 1 вес'!$A$1:$I$3</definedName>
  </definedNames>
  <calcPr calcId="144525" refMode="R1C1"/>
</workbook>
</file>

<file path=xl/sharedStrings.xml><?xml version="1.0" encoding="utf-8"?>
<sst xmlns="http://schemas.openxmlformats.org/spreadsheetml/2006/main" count="2071" uniqueCount="683">
  <si>
    <t>Открытый чемпионат Москвы
AWPC Народный жим (1 вес)
Раменское/Московская область 31 июля - 1 августа 2021 г.</t>
  </si>
  <si>
    <t>ФИО</t>
  </si>
  <si>
    <t>Возрастная группа
Дата рождения/Возраст</t>
  </si>
  <si>
    <t>Собственный 
вес</t>
  </si>
  <si>
    <t>Gloss</t>
  </si>
  <si>
    <t>Команда</t>
  </si>
  <si>
    <t>Город/Область</t>
  </si>
  <si>
    <t>Народный жим</t>
  </si>
  <si>
    <t>Тоннаж</t>
  </si>
  <si>
    <t>Очки</t>
  </si>
  <si>
    <t>Тренер</t>
  </si>
  <si>
    <t>Вес</t>
  </si>
  <si>
    <t>Повторы</t>
  </si>
  <si>
    <t>ВЕСОВАЯ КАТЕГОРИЯ   67.5</t>
  </si>
  <si>
    <t>1. Данилов Антон</t>
  </si>
  <si>
    <t>Юниоры 20 - 23 (04.11.2000)/20</t>
  </si>
  <si>
    <t>65,10</t>
  </si>
  <si>
    <t xml:space="preserve">лично </t>
  </si>
  <si>
    <t xml:space="preserve">Москва </t>
  </si>
  <si>
    <t>67,5</t>
  </si>
  <si>
    <t>16,0</t>
  </si>
  <si>
    <t xml:space="preserve"> </t>
  </si>
  <si>
    <t>ВЕСОВАЯ КАТЕГОРИЯ   75</t>
  </si>
  <si>
    <t>1. Балугин Николай</t>
  </si>
  <si>
    <t>Открытая (24.07.1987)/34</t>
  </si>
  <si>
    <t>72,50</t>
  </si>
  <si>
    <t>72,5</t>
  </si>
  <si>
    <t>32,0</t>
  </si>
  <si>
    <t>1. Данилов Алексей</t>
  </si>
  <si>
    <t>Ветераны 40 - 49 (30.04.1975)/46</t>
  </si>
  <si>
    <t>73,60</t>
  </si>
  <si>
    <t>75,0</t>
  </si>
  <si>
    <t>31,0</t>
  </si>
  <si>
    <t>ВЕСОВАЯ КАТЕГОРИЯ   82.5</t>
  </si>
  <si>
    <t>1. Гурковский Сергей</t>
  </si>
  <si>
    <t>Открытая (17.08.1990)/30</t>
  </si>
  <si>
    <t>77,90</t>
  </si>
  <si>
    <t>80,0</t>
  </si>
  <si>
    <t>25,0</t>
  </si>
  <si>
    <t>1. Берняев Игорь</t>
  </si>
  <si>
    <t>Ветераны 50 - 59 (30.11.1968)/52</t>
  </si>
  <si>
    <t>81,50</t>
  </si>
  <si>
    <t>82,5</t>
  </si>
  <si>
    <t>ВЕСОВАЯ КАТЕГОРИЯ   90</t>
  </si>
  <si>
    <t>1. Никонов Денис</t>
  </si>
  <si>
    <t>Открытая (21.03.1982)/39</t>
  </si>
  <si>
    <t>88,20</t>
  </si>
  <si>
    <t xml:space="preserve">Красногорск/Московская область </t>
  </si>
  <si>
    <t>90,0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</si>
  <si>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</si>
  <si>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</si>
  <si>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</si>
  <si>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</si>
  <si>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</si>
  <si>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</si>
  <si>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</si>
  <si>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</si>
  <si>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</si>
  <si>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</si>
  <si>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</si>
  <si>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</si>
  <si>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Gloss </t>
  </si>
  <si>
    <t>Данилов Антон</t>
  </si>
  <si>
    <t xml:space="preserve">Юниоры 20 - 23 </t>
  </si>
  <si>
    <t>67.5</t>
  </si>
  <si>
    <t>1080,0</t>
  </si>
  <si>
    <t>834,0300</t>
  </si>
  <si>
    <t xml:space="preserve">Открытая </t>
  </si>
  <si>
    <t>Балугин Николай</t>
  </si>
  <si>
    <t>75</t>
  </si>
  <si>
    <t>2320,0</t>
  </si>
  <si>
    <t>1638,8479</t>
  </si>
  <si>
    <t>Никонов Денис</t>
  </si>
  <si>
    <t>90</t>
  </si>
  <si>
    <t>2250,0</t>
  </si>
  <si>
    <t>1392,4125</t>
  </si>
  <si>
    <t>Гурковский Сергей</t>
  </si>
  <si>
    <t>82.5</t>
  </si>
  <si>
    <t>2000,0</t>
  </si>
  <si>
    <t>1339,9000</t>
  </si>
  <si>
    <t xml:space="preserve">Ветераны </t>
  </si>
  <si>
    <t>Данилов Алексей</t>
  </si>
  <si>
    <t xml:space="preserve">Ветераны 40 - 49 </t>
  </si>
  <si>
    <t>2325,0</t>
  </si>
  <si>
    <t>1733,9487</t>
  </si>
  <si>
    <t>Берняев Игорь</t>
  </si>
  <si>
    <t xml:space="preserve">Ветераны 50 - 59 </t>
  </si>
  <si>
    <t>1320,0</t>
  </si>
  <si>
    <t>999,1855</t>
  </si>
  <si>
    <t>Открытый чемпионат Москвы
WPC Народный жим (1 вес)
Раменское/Московская область 31 июля - 1 августа 2021 г.</t>
  </si>
  <si>
    <t>1. Репин Сергей</t>
  </si>
  <si>
    <t>Открытая (11.07.1986)/35</t>
  </si>
  <si>
    <t>81,70</t>
  </si>
  <si>
    <t xml:space="preserve">Орехово-Зуево/Московская область </t>
  </si>
  <si>
    <t>34,0</t>
  </si>
  <si>
    <t>1. Хусаинов Ринат</t>
  </si>
  <si>
    <t>Открытая (24.02.1993)/28</t>
  </si>
  <si>
    <t>84,40</t>
  </si>
  <si>
    <t xml:space="preserve">Домодедово/Московская область </t>
  </si>
  <si>
    <t>85,0</t>
  </si>
  <si>
    <t>27,0</t>
  </si>
  <si>
    <t>Репин Сергей</t>
  </si>
  <si>
    <t>2805,0</t>
  </si>
  <si>
    <t>1819,6035</t>
  </si>
  <si>
    <t>Хусаинов Ринат</t>
  </si>
  <si>
    <t>2295,0</t>
  </si>
  <si>
    <t>1458,2430</t>
  </si>
  <si>
    <t>ОТКРЫТЫЙ ЧЕМПИОНАТ МОСКВЫ WPC/AWPC/WAA-2021
«Эскалибур»
Раменское/Московская область 31 июля - 1 августа 2021 г.</t>
  </si>
  <si>
    <t>Собственный
вес</t>
  </si>
  <si>
    <t>Тяга</t>
  </si>
  <si>
    <t>Результат</t>
  </si>
  <si>
    <t>4</t>
  </si>
  <si>
    <t>1. Гаевский Владимир</t>
  </si>
  <si>
    <t>Мастера 40+ (11.06.1955)/66</t>
  </si>
  <si>
    <t>84,20</t>
  </si>
  <si>
    <t xml:space="preserve">Омск/Омская область </t>
  </si>
  <si>
    <t>60,0</t>
  </si>
  <si>
    <t>70,0</t>
  </si>
  <si>
    <t>="75,0"</t>
  </si>
  <si>
    <t>="72,1087"</t>
  </si>
  <si>
    <t xml:space="preserve">Мастера </t>
  </si>
  <si>
    <t>Гаевский Владимир</t>
  </si>
  <si>
    <t xml:space="preserve">Мастера 40+ </t>
  </si>
  <si>
    <t>72,1087</t>
  </si>
  <si>
    <t>ОТКРЫТЫЙ ЧЕМПИОНАТ МОСКВЫ WPC/AWPC/WAA-2021
«Русский кирпич»
Раменское/Московская область 31 июля - 1 августа 2021 г.</t>
  </si>
  <si>
    <t>49,0</t>
  </si>
  <si>
    <t>54,0</t>
  </si>
  <si>
    <t>="54,0"</t>
  </si>
  <si>
    <t>="51,9183"</t>
  </si>
  <si>
    <t>51,9183</t>
  </si>
  <si>
    <t>ОТКРЫТЫЙ ЧЕМПИОНАТ МОСКВЫ WPC/AWPC/WAA-2021
«Русский хаб»
Раменское/Московская область 31 июля - 1 августа 2021 г.</t>
  </si>
  <si>
    <t>12,5</t>
  </si>
  <si>
    <t>17,5</t>
  </si>
  <si>
    <t>22,5</t>
  </si>
  <si>
    <t>="17,5"</t>
  </si>
  <si>
    <t>="16,8254"</t>
  </si>
  <si>
    <t>16,8254</t>
  </si>
  <si>
    <t>ОТКРЫТЫЙ ЧЕМПИОНАТ МОСКВЫ WPC/AWPC/WAA-2021
«Русская ось»
Раменское/Московская область 31 июля - 1 августа 2021 г.</t>
  </si>
  <si>
    <t>ВЕСОВАЯ КАТЕГОРИЯ   60</t>
  </si>
  <si>
    <t>1. Мавряшина Виктория</t>
  </si>
  <si>
    <t>Открытая (05.02.1984)/37</t>
  </si>
  <si>
    <t>55,50</t>
  </si>
  <si>
    <t>="70,0"</t>
  </si>
  <si>
    <t>="73,5980"</t>
  </si>
  <si>
    <t xml:space="preserve">Кленин Максим </t>
  </si>
  <si>
    <t>2. Магеррамова Алена</t>
  </si>
  <si>
    <t>Открытая (17.05.1996)/25</t>
  </si>
  <si>
    <t>57,30</t>
  </si>
  <si>
    <t>45,0</t>
  </si>
  <si>
    <t>50,0</t>
  </si>
  <si>
    <t>55,0</t>
  </si>
  <si>
    <t>="60,0"</t>
  </si>
  <si>
    <t>="61,4880"</t>
  </si>
  <si>
    <t>1. Кленин Максим</t>
  </si>
  <si>
    <t>Открытая (06.02.1991)/30</t>
  </si>
  <si>
    <t>86,50</t>
  </si>
  <si>
    <t>130,0</t>
  </si>
  <si>
    <t>140,0</t>
  </si>
  <si>
    <t>150,0</t>
  </si>
  <si>
    <t>="140,0"</t>
  </si>
  <si>
    <t>="87,6330"</t>
  </si>
  <si>
    <t xml:space="preserve">Мавряшина Виктория </t>
  </si>
  <si>
    <t>2. Павленко Владимир</t>
  </si>
  <si>
    <t>Открытая (12.11.1996)/24</t>
  </si>
  <si>
    <t>85,60</t>
  </si>
  <si>
    <t>95,0</t>
  </si>
  <si>
    <t>105,0</t>
  </si>
  <si>
    <t>115,0</t>
  </si>
  <si>
    <t>="105,0"</t>
  </si>
  <si>
    <t>="66,1395"</t>
  </si>
  <si>
    <t>120,0</t>
  </si>
  <si>
    <t>135,0</t>
  </si>
  <si>
    <t>="130,0"</t>
  </si>
  <si>
    <t>="124,9884"</t>
  </si>
  <si>
    <t xml:space="preserve">Женщины </t>
  </si>
  <si>
    <t>Мавряшина Виктория</t>
  </si>
  <si>
    <t>60</t>
  </si>
  <si>
    <t>73,5980</t>
  </si>
  <si>
    <t>Магеррамова Алена</t>
  </si>
  <si>
    <t>61,4880</t>
  </si>
  <si>
    <t>Кленин Максим</t>
  </si>
  <si>
    <t>87,6330</t>
  </si>
  <si>
    <t>Павленко Владимир</t>
  </si>
  <si>
    <t>66,1395</t>
  </si>
  <si>
    <t>124,9884</t>
  </si>
  <si>
    <t>ОТКРЫТЫЙ ЧЕМПИОНАТ МОСКВЫ WPC/AWPC/WAA-2021
«Русская рулетка»
Раменское/Московская область 31 июля - 1 августа 2021 г.</t>
  </si>
  <si>
    <t>50,5</t>
  </si>
  <si>
    <t>55,5</t>
  </si>
  <si>
    <t>60,5</t>
  </si>
  <si>
    <t>="60,5"</t>
  </si>
  <si>
    <t>="58,1677"</t>
  </si>
  <si>
    <t>58,1677</t>
  </si>
  <si>
    <t>ОТКРЫТЫЙ ЧЕМПИОНАТ МОСКВЫ WPC/AWPC/WAA-2021
AWPC строгий подъем на бицепс
Раменское/Московская область 31 июля - 1 августа 2021 г.</t>
  </si>
  <si>
    <t>Подъем на бицепс</t>
  </si>
  <si>
    <t>Рек</t>
  </si>
  <si>
    <t>30,0</t>
  </si>
  <si>
    <t>40,0</t>
  </si>
  <si>
    <t>1. Ильченко Василий</t>
  </si>
  <si>
    <t>Ветераны 55 - 59 (13.05.1963)/58</t>
  </si>
  <si>
    <t>66,90</t>
  </si>
  <si>
    <t>52,5</t>
  </si>
  <si>
    <t>1. Юмшанов Дмитрий</t>
  </si>
  <si>
    <t>Ветераны 40 - 44 (27.02.1980)/41</t>
  </si>
  <si>
    <t>71,80</t>
  </si>
  <si>
    <t xml:space="preserve">Кирсанов/Тамбовская область </t>
  </si>
  <si>
    <t>Ветераны 45 - 49 (30.04.1975)/46</t>
  </si>
  <si>
    <t>57,5</t>
  </si>
  <si>
    <t>1. Умеренков Даниил</t>
  </si>
  <si>
    <t>Юноши 16 - 17 (01.03.2004)/17</t>
  </si>
  <si>
    <t>77,10</t>
  </si>
  <si>
    <t xml:space="preserve">Курск/Курская область </t>
  </si>
  <si>
    <t>27,5</t>
  </si>
  <si>
    <t>1. Петухов Денис</t>
  </si>
  <si>
    <t>Юниоры 20 - 23 (23.07.2001)/20</t>
  </si>
  <si>
    <t>80,30</t>
  </si>
  <si>
    <t xml:space="preserve">Луховицы/Московская область </t>
  </si>
  <si>
    <t>47,5</t>
  </si>
  <si>
    <t>1. Сергеев Дмитрий</t>
  </si>
  <si>
    <t>Открытая (12.02.1987)/34</t>
  </si>
  <si>
    <t>82,20</t>
  </si>
  <si>
    <t>62,5</t>
  </si>
  <si>
    <t>2. Игошин Виталий</t>
  </si>
  <si>
    <t>Открытая (08.02.1991)/30</t>
  </si>
  <si>
    <t>80,80</t>
  </si>
  <si>
    <t xml:space="preserve">Жуковский/Московская область </t>
  </si>
  <si>
    <t>3. Умеренков Даниил</t>
  </si>
  <si>
    <t>Открытая (01.03.2004)/17</t>
  </si>
  <si>
    <t>1. Тюрин Сергей</t>
  </si>
  <si>
    <t>Ветераны 40 - 44 (03.08.1978)/42</t>
  </si>
  <si>
    <t>65,0</t>
  </si>
  <si>
    <t>1. Гончаров Михаил</t>
  </si>
  <si>
    <t>Открытая (26.12.1985)/35</t>
  </si>
  <si>
    <t>88,60</t>
  </si>
  <si>
    <t>ВЕСОВАЯ КАТЕГОРИЯ   110</t>
  </si>
  <si>
    <t>1. Звягинцев Данила</t>
  </si>
  <si>
    <t>Юниоры 20 - 23 (14.10.1999)/21</t>
  </si>
  <si>
    <t>109,50</t>
  </si>
  <si>
    <t xml:space="preserve">Долгопрудный/Московская область </t>
  </si>
  <si>
    <t xml:space="preserve">Юноши </t>
  </si>
  <si>
    <t>Умеренков Даниил</t>
  </si>
  <si>
    <t xml:space="preserve">Юноши 16 - 17 </t>
  </si>
  <si>
    <t>26,9960</t>
  </si>
  <si>
    <t>Звягинцев Данила</t>
  </si>
  <si>
    <t>110</t>
  </si>
  <si>
    <t>42,2400</t>
  </si>
  <si>
    <t>34,7512</t>
  </si>
  <si>
    <t>Петухов Денис</t>
  </si>
  <si>
    <t>34,4479</t>
  </si>
  <si>
    <t>Сергеев Дмитрий</t>
  </si>
  <si>
    <t>37,1536</t>
  </si>
  <si>
    <t>Игошин Виталий</t>
  </si>
  <si>
    <t>29,4053</t>
  </si>
  <si>
    <t>Гончаров Михаил</t>
  </si>
  <si>
    <t>27,7785</t>
  </si>
  <si>
    <t>Ильченко Василий</t>
  </si>
  <si>
    <t xml:space="preserve">Ветераны 55 - 59 </t>
  </si>
  <si>
    <t>51,1144</t>
  </si>
  <si>
    <t>Тюрин Сергей</t>
  </si>
  <si>
    <t xml:space="preserve">Ветераны 40 - 44 </t>
  </si>
  <si>
    <t>44,4177</t>
  </si>
  <si>
    <t xml:space="preserve">Ветераны 45 - 49 </t>
  </si>
  <si>
    <t>42,8826</t>
  </si>
  <si>
    <t>Юмшанов Дмитрий</t>
  </si>
  <si>
    <t>39,5349</t>
  </si>
  <si>
    <t>ОТКРЫТЫЙ ЧЕМПИОНАТ МОСКВЫ WPC/AWPC/WAA-2021
AWPC тяга становая без экипировки
Раменское/Московская область 31 июля - 1 августа 2021 г.</t>
  </si>
  <si>
    <t>Становая тяга</t>
  </si>
  <si>
    <t>ВЕСОВАЯ КАТЕГОРИЯ   52</t>
  </si>
  <si>
    <t>1. Павленко Арина</t>
  </si>
  <si>
    <t>Открытая (24.03.1997)/24</t>
  </si>
  <si>
    <t>51,20</t>
  </si>
  <si>
    <t>100,0</t>
  </si>
  <si>
    <t>1. Гафиева Екатерина</t>
  </si>
  <si>
    <t>Ветераны 45 - 49 (01.10.1973)/47</t>
  </si>
  <si>
    <t>62,50</t>
  </si>
  <si>
    <t>112,5</t>
  </si>
  <si>
    <t>117,5</t>
  </si>
  <si>
    <t xml:space="preserve">Гадиева Д.А. </t>
  </si>
  <si>
    <t>1. Фольваркова Екатерина</t>
  </si>
  <si>
    <t>Открытая (03.12.1994)/26</t>
  </si>
  <si>
    <t>73,70</t>
  </si>
  <si>
    <t>125,0</t>
  </si>
  <si>
    <t xml:space="preserve">Табанаков О.А. </t>
  </si>
  <si>
    <t>1. Дербенев Иван</t>
  </si>
  <si>
    <t>Открытая (12.12.1992)/28</t>
  </si>
  <si>
    <t>59,40</t>
  </si>
  <si>
    <t>160,0</t>
  </si>
  <si>
    <t>172,5</t>
  </si>
  <si>
    <t>180,0</t>
  </si>
  <si>
    <t>1. Барладян Александр</t>
  </si>
  <si>
    <t>Открытая (14.02.1996)/25</t>
  </si>
  <si>
    <t>66,20</t>
  </si>
  <si>
    <t>165,0</t>
  </si>
  <si>
    <t>1. Киреев Денис</t>
  </si>
  <si>
    <t>Открытая (02.02.1988)/33</t>
  </si>
  <si>
    <t>80,50</t>
  </si>
  <si>
    <t xml:space="preserve">Динамо-32 </t>
  </si>
  <si>
    <t xml:space="preserve">Воскресенск/Московская область </t>
  </si>
  <si>
    <t>175,0</t>
  </si>
  <si>
    <t>185,0</t>
  </si>
  <si>
    <t>195,0</t>
  </si>
  <si>
    <t>2. Власкин Александр</t>
  </si>
  <si>
    <t>Открытая (16.02.1987)/34</t>
  </si>
  <si>
    <t>81,20</t>
  </si>
  <si>
    <t xml:space="preserve">Екатеринбург/Свердловская область </t>
  </si>
  <si>
    <t>1. Бондарев Дмитрий</t>
  </si>
  <si>
    <t>Юниоры 20 - 23 (10.02.2000)/21</t>
  </si>
  <si>
    <t>87,70</t>
  </si>
  <si>
    <t xml:space="preserve">Балашиха/Московская область </t>
  </si>
  <si>
    <t>1. Москвин Вячеслав</t>
  </si>
  <si>
    <t>Открытая (05.01.1988)/33</t>
  </si>
  <si>
    <t>87,10</t>
  </si>
  <si>
    <t>215,0</t>
  </si>
  <si>
    <t>222,5</t>
  </si>
  <si>
    <t>2. Малахов Николай</t>
  </si>
  <si>
    <t>Открытая (10.01.1991)/30</t>
  </si>
  <si>
    <t>89,90</t>
  </si>
  <si>
    <t>200,0</t>
  </si>
  <si>
    <t>ВЕСОВАЯ КАТЕГОРИЯ   100</t>
  </si>
  <si>
    <t>1. Есаян Николай</t>
  </si>
  <si>
    <t>Открытая (17.08.1994)/26</t>
  </si>
  <si>
    <t>95,40</t>
  </si>
  <si>
    <t xml:space="preserve">Наро-Фоминск/Московская область </t>
  </si>
  <si>
    <t>205,0</t>
  </si>
  <si>
    <t>225,0</t>
  </si>
  <si>
    <t>-. Кавченков Никита</t>
  </si>
  <si>
    <t>Открытая (02.10.1991)/29</t>
  </si>
  <si>
    <t>95,30</t>
  </si>
  <si>
    <t>240,0</t>
  </si>
  <si>
    <t>Павленко Арина</t>
  </si>
  <si>
    <t>52</t>
  </si>
  <si>
    <t>106,5140</t>
  </si>
  <si>
    <t>Фольваркова Екатерина</t>
  </si>
  <si>
    <t>97,2958</t>
  </si>
  <si>
    <t>Гафиева Екатерина</t>
  </si>
  <si>
    <t>121,5283</t>
  </si>
  <si>
    <t>Бондарев Дмитрий</t>
  </si>
  <si>
    <t>111,7620</t>
  </si>
  <si>
    <t>Дербенев Иван</t>
  </si>
  <si>
    <t>145,0811</t>
  </si>
  <si>
    <t>Москвин Вячеслав</t>
  </si>
  <si>
    <t>134,0310</t>
  </si>
  <si>
    <t>Есаян Николай</t>
  </si>
  <si>
    <t>100</t>
  </si>
  <si>
    <t>133,5938</t>
  </si>
  <si>
    <t>Малахов Николай</t>
  </si>
  <si>
    <t>131,6337</t>
  </si>
  <si>
    <t>Барладян Александр</t>
  </si>
  <si>
    <t>131,2639</t>
  </si>
  <si>
    <t>Киреев Денис</t>
  </si>
  <si>
    <t>127,7347</t>
  </si>
  <si>
    <t>Власкин Александр</t>
  </si>
  <si>
    <t>127,0035</t>
  </si>
  <si>
    <t>ОТКРЫТЫЙ ЧЕМПИОНАТ МОСКВЫ WPC/AWPC/WAA-2021
WPC тяга становая без экипировки
Раменское/Московская область 31 июля - 1 августа 2021 г.</t>
  </si>
  <si>
    <t>1. Курмей Денис</t>
  </si>
  <si>
    <t>Открытая (21.10.1987)/33</t>
  </si>
  <si>
    <t>108,80</t>
  </si>
  <si>
    <t xml:space="preserve">Тучково/Московская область </t>
  </si>
  <si>
    <t>345,0</t>
  </si>
  <si>
    <t>360,0</t>
  </si>
  <si>
    <t>Курмей Денис</t>
  </si>
  <si>
    <t>194,6662</t>
  </si>
  <si>
    <t>ОТКРЫТЫЙ ЧЕМПИОНАТ МОСКВЫ WPC/AWPC/WAA-2021
AWPC жим лежа в стандартной софт экипировке
Раменское/Московская область 31 июля - 1 августа 2021 г.</t>
  </si>
  <si>
    <t>Жим лёжа</t>
  </si>
  <si>
    <t>1. Рощин Александр</t>
  </si>
  <si>
    <t>Юниоры 20 - 23 (01.07.1998)/23</t>
  </si>
  <si>
    <t>67,30</t>
  </si>
  <si>
    <t xml:space="preserve">Империум </t>
  </si>
  <si>
    <t xml:space="preserve">Чехов/Московская область </t>
  </si>
  <si>
    <t>190,0</t>
  </si>
  <si>
    <t xml:space="preserve">Орешкин А.Н. </t>
  </si>
  <si>
    <t>1. Фрицлер Андрей</t>
  </si>
  <si>
    <t>Открытая (11.04.1984)/37</t>
  </si>
  <si>
    <t>105,00</t>
  </si>
  <si>
    <t xml:space="preserve">Калининград/Калининградская область </t>
  </si>
  <si>
    <t>230,0</t>
  </si>
  <si>
    <t>1. Ярков Василий</t>
  </si>
  <si>
    <t>Ветераны 50 - 54 (20.06.1970)/51</t>
  </si>
  <si>
    <t>109,90</t>
  </si>
  <si>
    <t>212,5</t>
  </si>
  <si>
    <t>Рощин Александр</t>
  </si>
  <si>
    <t>142,5665</t>
  </si>
  <si>
    <t>Фрицлер Андрей</t>
  </si>
  <si>
    <t>128,3962</t>
  </si>
  <si>
    <t>Ярков Василий</t>
  </si>
  <si>
    <t xml:space="preserve">Ветераны 50 - 54 </t>
  </si>
  <si>
    <t>137,1389</t>
  </si>
  <si>
    <t>ОТКРЫТЫЙ ЧЕМПИОНАТ МОСКВЫ WPC/AWPC/WAA-2021
AWPC жим стоя
Раменское/Московская область 31 июля - 1 августа 2021 г.</t>
  </si>
  <si>
    <t>Жим стоя</t>
  </si>
  <si>
    <t>1. Филюк Вячеслав</t>
  </si>
  <si>
    <t>Юноши 18 - 19 (13.04.2002)/19</t>
  </si>
  <si>
    <t>89,10</t>
  </si>
  <si>
    <t>Филюк Вячеслав</t>
  </si>
  <si>
    <t xml:space="preserve">Юноши 18 - 19 </t>
  </si>
  <si>
    <t>39,9945</t>
  </si>
  <si>
    <t>ОТКРЫТЫЙ ЧЕМПИОНАТ МОСКВЫ WPC/AWPC/WAA-2021
AWPC жим лежа без экипировки
Раменское/Московская область 31 июля - 1 августа 2021 г.</t>
  </si>
  <si>
    <t>1. Феклисова Юлия</t>
  </si>
  <si>
    <t>Открытая (20.05.1982)/39</t>
  </si>
  <si>
    <t>51,40</t>
  </si>
  <si>
    <t>1. Баталова Татьяна</t>
  </si>
  <si>
    <t>Открытая (20.05.1997)/24</t>
  </si>
  <si>
    <t>63,90</t>
  </si>
  <si>
    <t>ВЕСОВАЯ КАТЕГОРИЯ   56</t>
  </si>
  <si>
    <t>-. Марков Владимир</t>
  </si>
  <si>
    <t>Открытая (29.05.1983)/38</t>
  </si>
  <si>
    <t>55,00</t>
  </si>
  <si>
    <t>102,5</t>
  </si>
  <si>
    <t>87,5</t>
  </si>
  <si>
    <t>97,5</t>
  </si>
  <si>
    <t>107,5</t>
  </si>
  <si>
    <t>127,5</t>
  </si>
  <si>
    <t>132,5</t>
  </si>
  <si>
    <t>2. Самара Станислав</t>
  </si>
  <si>
    <t>Открытая (14.03.1989)/32</t>
  </si>
  <si>
    <t>69,00</t>
  </si>
  <si>
    <t>3. Крылов Михаил</t>
  </si>
  <si>
    <t>Открытая (18.11.1982)/38</t>
  </si>
  <si>
    <t>74,20</t>
  </si>
  <si>
    <t xml:space="preserve">Сергиев Посад/Московская область </t>
  </si>
  <si>
    <t>110,0</t>
  </si>
  <si>
    <t>4. Игнатьев Артем</t>
  </si>
  <si>
    <t>Открытая (08.12.1985)/35</t>
  </si>
  <si>
    <t>68,60</t>
  </si>
  <si>
    <t xml:space="preserve">Владимир/Владимирская область </t>
  </si>
  <si>
    <t>1. Шувалов Александр</t>
  </si>
  <si>
    <t>Юноши 18 - 19 (06.07.2003)/18</t>
  </si>
  <si>
    <t>80,70</t>
  </si>
  <si>
    <t>1. Богачкин Александр</t>
  </si>
  <si>
    <t>Открытая (10.05.1986)/35</t>
  </si>
  <si>
    <t>82,00</t>
  </si>
  <si>
    <t>2. Грабенко Артем</t>
  </si>
  <si>
    <t>Открытая (22.05.1989)/32</t>
  </si>
  <si>
    <t>81,40</t>
  </si>
  <si>
    <t>3. Игошин Виталий</t>
  </si>
  <si>
    <t>-. Карпушенко Максим</t>
  </si>
  <si>
    <t>Открытая (10.01.1993)/28</t>
  </si>
  <si>
    <t xml:space="preserve">Рыбинск/Ярославская область </t>
  </si>
  <si>
    <t>Ветераны 50 - 54 (30.11.1968)/52</t>
  </si>
  <si>
    <t>1. Манаенков Александр</t>
  </si>
  <si>
    <t>Открытая (19.04.1992)/29</t>
  </si>
  <si>
    <t>90,00</t>
  </si>
  <si>
    <t xml:space="preserve">Люберцы/Московская область </t>
  </si>
  <si>
    <t>162,5</t>
  </si>
  <si>
    <t>170,0</t>
  </si>
  <si>
    <t>2. Никонов Денис</t>
  </si>
  <si>
    <t>147,5</t>
  </si>
  <si>
    <t>152,5</t>
  </si>
  <si>
    <t>155,0</t>
  </si>
  <si>
    <t>3. Мустафин Раушан</t>
  </si>
  <si>
    <t>Открытая (03.12.1987)/33</t>
  </si>
  <si>
    <t>89,30</t>
  </si>
  <si>
    <t>145,0</t>
  </si>
  <si>
    <t>4. Филиппов Станислав</t>
  </si>
  <si>
    <t>Открытая (30.09.1986)/34</t>
  </si>
  <si>
    <t>87,30</t>
  </si>
  <si>
    <t>1. Кострюков Владимир</t>
  </si>
  <si>
    <t>Ветераны 40 - 44 (23.04.1979)/42</t>
  </si>
  <si>
    <t>87,20</t>
  </si>
  <si>
    <t>1. Едапин Владимир</t>
  </si>
  <si>
    <t>Открытая (25.02.1984)/37</t>
  </si>
  <si>
    <t>98,30</t>
  </si>
  <si>
    <t>2. Серегин Александр</t>
  </si>
  <si>
    <t>Открытая (15.12.1982)/38</t>
  </si>
  <si>
    <t>98,70</t>
  </si>
  <si>
    <t xml:space="preserve">Королёв/Московская область </t>
  </si>
  <si>
    <t>3. Швейкин Данила</t>
  </si>
  <si>
    <t>Открытая (07.10.1993)/27</t>
  </si>
  <si>
    <t>97,20</t>
  </si>
  <si>
    <t>1. Миньков Алексей</t>
  </si>
  <si>
    <t>Ветераны 40 - 44 (21.07.1977)/44</t>
  </si>
  <si>
    <t>96,20</t>
  </si>
  <si>
    <t>1. Медведев Владимир</t>
  </si>
  <si>
    <t>Ветераны 45 - 49 (15.02.1975)/46</t>
  </si>
  <si>
    <t>100,00</t>
  </si>
  <si>
    <t xml:space="preserve">Нахабино/Московская область </t>
  </si>
  <si>
    <t>1. Бердиев Темиржон</t>
  </si>
  <si>
    <t>Открытая (27.11.1988)/32</t>
  </si>
  <si>
    <t>108,60</t>
  </si>
  <si>
    <t xml:space="preserve">Коломна/Московская область </t>
  </si>
  <si>
    <t>2. Семенов Игорь</t>
  </si>
  <si>
    <t>Открытая (01.05.1984)/37</t>
  </si>
  <si>
    <t>106,70</t>
  </si>
  <si>
    <t>3. Грачев Вадим</t>
  </si>
  <si>
    <t>Открытая (19.08.1986)/34</t>
  </si>
  <si>
    <t>157,5</t>
  </si>
  <si>
    <t>167,5</t>
  </si>
  <si>
    <t xml:space="preserve">Минин Дмитрий Игоревич </t>
  </si>
  <si>
    <t>1. Бычков Игорь</t>
  </si>
  <si>
    <t>Ветераны 50 - 54 (18.06.1970)/51</t>
  </si>
  <si>
    <t>104,20</t>
  </si>
  <si>
    <t>ВЕСОВАЯ КАТЕГОРИЯ   140</t>
  </si>
  <si>
    <t>1. Филатов Артем</t>
  </si>
  <si>
    <t>Открытая (26.09.1986)/34</t>
  </si>
  <si>
    <t>137,60</t>
  </si>
  <si>
    <t>177,5</t>
  </si>
  <si>
    <t>182,5</t>
  </si>
  <si>
    <t>Баталова Татьяна</t>
  </si>
  <si>
    <t>70,4400</t>
  </si>
  <si>
    <t>Феклисова Юлия</t>
  </si>
  <si>
    <t>58,6845</t>
  </si>
  <si>
    <t>Шувалов Александр</t>
  </si>
  <si>
    <t>73,5750</t>
  </si>
  <si>
    <t>83,0169</t>
  </si>
  <si>
    <t>Бердиев Темиржон</t>
  </si>
  <si>
    <t>112,9100</t>
  </si>
  <si>
    <t>Едапин Владимир</t>
  </si>
  <si>
    <t>108,3360</t>
  </si>
  <si>
    <t>Манаенков Александр</t>
  </si>
  <si>
    <t>104,0145</t>
  </si>
  <si>
    <t>Семенов Игорь</t>
  </si>
  <si>
    <t>102,1770</t>
  </si>
  <si>
    <t>Филатов Артем</t>
  </si>
  <si>
    <t>140</t>
  </si>
  <si>
    <t>98,6494</t>
  </si>
  <si>
    <t>94,3746</t>
  </si>
  <si>
    <t>Мустафин Раушан</t>
  </si>
  <si>
    <t>93,7189</t>
  </si>
  <si>
    <t>93,5980</t>
  </si>
  <si>
    <t>Богачкин Александр</t>
  </si>
  <si>
    <t>90,6010</t>
  </si>
  <si>
    <t>Грачев Вадим</t>
  </si>
  <si>
    <t>88,7040</t>
  </si>
  <si>
    <t>Самара Станислав</t>
  </si>
  <si>
    <t>88,1820</t>
  </si>
  <si>
    <t>Серегин Александр</t>
  </si>
  <si>
    <t>84,7598</t>
  </si>
  <si>
    <t>Грабенко Артем</t>
  </si>
  <si>
    <t>82,9069</t>
  </si>
  <si>
    <t>Филиппов Станислав</t>
  </si>
  <si>
    <t>82,4945</t>
  </si>
  <si>
    <t>Швейкин Данила</t>
  </si>
  <si>
    <t>82,3970</t>
  </si>
  <si>
    <t>Игнатьев Артем</t>
  </si>
  <si>
    <t>77,5267</t>
  </si>
  <si>
    <t>Крылов Михаил</t>
  </si>
  <si>
    <t>76,3400</t>
  </si>
  <si>
    <t>71,8795</t>
  </si>
  <si>
    <t>Бычков Игорь</t>
  </si>
  <si>
    <t>106,6509</t>
  </si>
  <si>
    <t>100,6809</t>
  </si>
  <si>
    <t>Миньков Алексей</t>
  </si>
  <si>
    <t>92,5245</t>
  </si>
  <si>
    <t>Медведев Владимир</t>
  </si>
  <si>
    <t>90,0201</t>
  </si>
  <si>
    <t>Кострюков Владимир</t>
  </si>
  <si>
    <t>84,1985</t>
  </si>
  <si>
    <t>83,2655</t>
  </si>
  <si>
    <t>ОТКРЫТЫЙ ЧЕМПИОНАТ МОСКВЫ WPC/AWPC/WAA-2021
AWPC классичесический пауэрлифтинг
Раменское/Московская область 31 июля - 1 августа 2021 г.</t>
  </si>
  <si>
    <t>Приседание</t>
  </si>
  <si>
    <t>Сумма</t>
  </si>
  <si>
    <t>1. Бобрышев Кирилл</t>
  </si>
  <si>
    <t>Открытая (06.05.1995)/26</t>
  </si>
  <si>
    <t>66,50</t>
  </si>
  <si>
    <t>207,5</t>
  </si>
  <si>
    <t>220,0</t>
  </si>
  <si>
    <t>1. Солодков Денис</t>
  </si>
  <si>
    <t>Открытая (24.04.1992)/29</t>
  </si>
  <si>
    <t>79,10</t>
  </si>
  <si>
    <t xml:space="preserve">Троицк/Московская область </t>
  </si>
  <si>
    <t>-. Федоров Никита</t>
  </si>
  <si>
    <t>Юниоры 20 - 23 (06.11.1999)/21</t>
  </si>
  <si>
    <t>93,10</t>
  </si>
  <si>
    <t xml:space="preserve">Сумма </t>
  </si>
  <si>
    <t>Бобрышев Кирилл</t>
  </si>
  <si>
    <t>532,5</t>
  </si>
  <si>
    <t>403,6616</t>
  </si>
  <si>
    <t>Солодков Денис</t>
  </si>
  <si>
    <t>465,0</t>
  </si>
  <si>
    <t>308,2485</t>
  </si>
  <si>
    <t>ОТКРЫТЫЙ ЧЕМПИОНАТ МОСКВЫ WPC/AWPC/WAA-2021
AWPC пауэрлифтинг без экипировки
Раменское/Московская область 31 июля - 1 августа 2021 г.</t>
  </si>
  <si>
    <t>142,5</t>
  </si>
  <si>
    <t>92,5</t>
  </si>
  <si>
    <t>2. Столяров Павел</t>
  </si>
  <si>
    <t>Открытая (05.12.1989)/31</t>
  </si>
  <si>
    <t>67,10</t>
  </si>
  <si>
    <t>1. Фоменко Кирилл</t>
  </si>
  <si>
    <t>Открытая (25.11.1989)/31</t>
  </si>
  <si>
    <t>74,50</t>
  </si>
  <si>
    <t>137,5</t>
  </si>
  <si>
    <t>2. Фомин Илья</t>
  </si>
  <si>
    <t>73,10</t>
  </si>
  <si>
    <t>1. Ходулапов Дмитрий</t>
  </si>
  <si>
    <t>Открытая (04.08.1987)/33</t>
  </si>
  <si>
    <t>82,40</t>
  </si>
  <si>
    <t xml:space="preserve">Брянск/Брянская область </t>
  </si>
  <si>
    <t>187,5</t>
  </si>
  <si>
    <t>235,0</t>
  </si>
  <si>
    <t>2. Афусов Дмитрий</t>
  </si>
  <si>
    <t>Открытая (04.11.1987)/33</t>
  </si>
  <si>
    <t xml:space="preserve">Кимры/Тверская область </t>
  </si>
  <si>
    <t>3. Оздемир Денис</t>
  </si>
  <si>
    <t>Открытая (21.07.1992)/29</t>
  </si>
  <si>
    <t>79,00</t>
  </si>
  <si>
    <t>4. Кондраханов Александр</t>
  </si>
  <si>
    <t>Открытая (19.02.1989)/32</t>
  </si>
  <si>
    <t>1. Корнев Максим</t>
  </si>
  <si>
    <t>Открытая (09.06.1993)/28</t>
  </si>
  <si>
    <t>87,80</t>
  </si>
  <si>
    <t>Ходулапов Дмитрий</t>
  </si>
  <si>
    <t>552,5</t>
  </si>
  <si>
    <t>356,4177</t>
  </si>
  <si>
    <t>Афусов Дмитрий</t>
  </si>
  <si>
    <t>500,0</t>
  </si>
  <si>
    <t>327,0000</t>
  </si>
  <si>
    <t>Корнев Максим</t>
  </si>
  <si>
    <t>522,5</t>
  </si>
  <si>
    <t>324,2113</t>
  </si>
  <si>
    <t>510,0</t>
  </si>
  <si>
    <t>312,2475</t>
  </si>
  <si>
    <t>402,5</t>
  </si>
  <si>
    <t>306,2824</t>
  </si>
  <si>
    <t>Оздемир Денис</t>
  </si>
  <si>
    <t>440,0</t>
  </si>
  <si>
    <t>291,9400</t>
  </si>
  <si>
    <t>Фоменко Кирилл</t>
  </si>
  <si>
    <t>412,5</t>
  </si>
  <si>
    <t>285,4294</t>
  </si>
  <si>
    <t>Столяров Павел</t>
  </si>
  <si>
    <t>370,0</t>
  </si>
  <si>
    <t>278,3140</t>
  </si>
  <si>
    <t>Фомин Илья</t>
  </si>
  <si>
    <t>375,0</t>
  </si>
  <si>
    <t>263,2125</t>
  </si>
  <si>
    <t>Кондраханов Александр</t>
  </si>
  <si>
    <t>387,5</t>
  </si>
  <si>
    <t>253,2119</t>
  </si>
  <si>
    <t>ОТКРЫТЫЙ ЧЕМПИОНАТ МОСКВЫ WPC/AWPC/WAA-2021
WPC жим лежа в стандартной софт экипировке
Раменское/Московская область 31 июля - 1 августа 2021 г.</t>
  </si>
  <si>
    <t>1. Хлызов Александр</t>
  </si>
  <si>
    <t>Открытая (15.05.1984)/37</t>
  </si>
  <si>
    <t>129,00</t>
  </si>
  <si>
    <t xml:space="preserve">Соликамск/Пермский край </t>
  </si>
  <si>
    <t>330,0</t>
  </si>
  <si>
    <t>Хлызов Александр</t>
  </si>
  <si>
    <t>178,6356</t>
  </si>
  <si>
    <t>ОТКРЫТЫЙ ЧЕМПИОНАТ МОСКВЫ WPC/AWPC/WAA-2021
WPC жим лежа без экипировки
Раменское/Московская область 31 июля - 1 августа 2021 г.</t>
  </si>
  <si>
    <t>1. Распопов Юрий</t>
  </si>
  <si>
    <t>Открытая (16.12.1992)/28</t>
  </si>
  <si>
    <t xml:space="preserve">Донской/Тульская область </t>
  </si>
  <si>
    <t>197,5</t>
  </si>
  <si>
    <t>1. Дадинов Павел</t>
  </si>
  <si>
    <t>Открытая (21.05.1985)/36</t>
  </si>
  <si>
    <t>96,70</t>
  </si>
  <si>
    <t>1. Терентьев Игорь</t>
  </si>
  <si>
    <t>Открытая (27.10.1979)/41</t>
  </si>
  <si>
    <t>104,00</t>
  </si>
  <si>
    <t xml:space="preserve">Зеленоград/Московская область </t>
  </si>
  <si>
    <t>2. Пыжик Евгений</t>
  </si>
  <si>
    <t>Открытая (06.08.1992)/28</t>
  </si>
  <si>
    <t>106,00</t>
  </si>
  <si>
    <t>1. Яковенко Владимир</t>
  </si>
  <si>
    <t>Ветераны 60 - 64 (27.03.1959)/62</t>
  </si>
  <si>
    <t>109,00</t>
  </si>
  <si>
    <t xml:space="preserve">Можайск/Московская область </t>
  </si>
  <si>
    <t>Распопов Юрий</t>
  </si>
  <si>
    <t>127,4228</t>
  </si>
  <si>
    <t>Терентьев Игорь</t>
  </si>
  <si>
    <t>118,8041</t>
  </si>
  <si>
    <t>Дадинов Павел</t>
  </si>
  <si>
    <t>100,2915</t>
  </si>
  <si>
    <t>Пыжик Евгений</t>
  </si>
  <si>
    <t>99,5487</t>
  </si>
  <si>
    <t>Яковенко Владимир</t>
  </si>
  <si>
    <t xml:space="preserve">Ветераны 60 - 64 </t>
  </si>
  <si>
    <t>92,3059</t>
  </si>
  <si>
    <t>ОТКРЫТЫЙ ЧЕМПИОНАТ МОСКВЫ WPC/AWPC/WAA-2021
WPC пауэрлифтинг без экипировки
Раменское/Московская область 31 июля - 1 августа 2021 г.</t>
  </si>
  <si>
    <t>1. Петров Сергей</t>
  </si>
  <si>
    <t>Юниоры 20 - 23 (27.04.2000)/21</t>
  </si>
  <si>
    <t>74,00</t>
  </si>
  <si>
    <t>217,5</t>
  </si>
  <si>
    <t>227,5</t>
  </si>
  <si>
    <t>1. Пономарев Антон</t>
  </si>
  <si>
    <t>Открытая (17.02.1994)/27</t>
  </si>
  <si>
    <t>88,10</t>
  </si>
  <si>
    <t>237,5</t>
  </si>
  <si>
    <t>-. Шумкин Евгений</t>
  </si>
  <si>
    <t>Открытая (11.01.1995)/26</t>
  </si>
  <si>
    <t>89,40</t>
  </si>
  <si>
    <t>210,0</t>
  </si>
  <si>
    <t>Петров Сергей</t>
  </si>
  <si>
    <t>507,5</t>
  </si>
  <si>
    <t>352,9409</t>
  </si>
  <si>
    <t>Пономарев Антон</t>
  </si>
  <si>
    <t>582,5</t>
  </si>
  <si>
    <t>360,7131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</si>
</sst>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35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24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5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7" fillId="16" borderId="2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1" borderId="2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24" borderId="24" applyNumberFormat="0" applyAlignment="0" applyProtection="0">
      <alignment vertical="center"/>
    </xf>
    <xf numFmtId="0" fontId="29" fillId="17" borderId="23" applyNumberFormat="0" applyAlignment="0" applyProtection="0">
      <alignment vertical="center"/>
    </xf>
    <xf numFmtId="0" fontId="31" fillId="16" borderId="24" applyNumberFormat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75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indent="1"/>
    </xf>
    <xf numFmtId="49" fontId="6" fillId="0" borderId="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indent="1"/>
    </xf>
    <xf numFmtId="4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9.8857142857143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30.7809523809524" style="3" customWidth="1"/>
    <col min="7" max="7" width="4.78095238095238" style="4" customWidth="1"/>
    <col min="8" max="8" width="10" style="4" customWidth="1"/>
    <col min="9" max="9" width="7.66666666666667" style="5" customWidth="1"/>
    <col min="10" max="10" width="9.55238095238095" style="1" customWidth="1"/>
    <col min="11" max="11" width="8.33333333333333" style="3" customWidth="1"/>
    <col min="12" max="16384" width="9.1047619047619" style="4"/>
  </cols>
  <sheetData>
    <row r="1" s="1" customFormat="1" ht="28.95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33"/>
    </row>
    <row r="2" s="1" customFormat="1" ht="61.95" customHeight="1" spans="1:11">
      <c r="A2" s="8"/>
      <c r="B2" s="9"/>
      <c r="C2" s="9"/>
      <c r="D2" s="9"/>
      <c r="E2" s="9"/>
      <c r="F2" s="9"/>
      <c r="G2" s="9"/>
      <c r="H2" s="9"/>
      <c r="I2" s="9"/>
      <c r="J2" s="9"/>
      <c r="K2" s="34"/>
    </row>
    <row r="3" s="2" customFormat="1" ht="12.75" customHeight="1" spans="1:1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 t="s">
        <v>8</v>
      </c>
      <c r="J3" s="12" t="s">
        <v>9</v>
      </c>
      <c r="K3" s="35" t="s">
        <v>10</v>
      </c>
    </row>
    <row r="4" s="2" customFormat="1" ht="21" customHeight="1" spans="1:11">
      <c r="A4" s="13"/>
      <c r="B4" s="14"/>
      <c r="C4" s="14"/>
      <c r="D4" s="14"/>
      <c r="E4" s="14"/>
      <c r="F4" s="14"/>
      <c r="G4" s="14" t="s">
        <v>11</v>
      </c>
      <c r="H4" s="14" t="s">
        <v>12</v>
      </c>
      <c r="I4" s="14"/>
      <c r="J4" s="14"/>
      <c r="K4" s="36"/>
    </row>
    <row r="5" ht="14.25" spans="1:8">
      <c r="A5" s="15" t="s">
        <v>13</v>
      </c>
      <c r="B5" s="15"/>
      <c r="C5" s="15"/>
      <c r="D5" s="15"/>
      <c r="E5" s="15"/>
      <c r="F5" s="15"/>
      <c r="G5" s="15"/>
      <c r="H5" s="15"/>
    </row>
    <row r="6" spans="1:11">
      <c r="A6" s="16" t="s">
        <v>14</v>
      </c>
      <c r="B6" s="16" t="s">
        <v>15</v>
      </c>
      <c r="C6" s="16" t="s">
        <v>16</v>
      </c>
      <c r="D6" s="16" t="str">
        <f>"0,7722"</f>
        <v>0,7722</v>
      </c>
      <c r="E6" s="16" t="s">
        <v>17</v>
      </c>
      <c r="F6" s="16" t="s">
        <v>18</v>
      </c>
      <c r="G6" s="17" t="s">
        <v>19</v>
      </c>
      <c r="H6" s="17" t="s">
        <v>20</v>
      </c>
      <c r="I6" s="37" t="str">
        <f>"1080,0"</f>
        <v>1080,0</v>
      </c>
      <c r="J6" s="38" t="str">
        <f>"834,0300"</f>
        <v>834,0300</v>
      </c>
      <c r="K6" s="16" t="s">
        <v>21</v>
      </c>
    </row>
    <row r="8" ht="14.25" spans="1:8">
      <c r="A8" s="18" t="s">
        <v>22</v>
      </c>
      <c r="B8" s="19"/>
      <c r="C8" s="19"/>
      <c r="D8" s="19"/>
      <c r="E8" s="19"/>
      <c r="F8" s="19"/>
      <c r="G8" s="19"/>
      <c r="H8" s="19"/>
    </row>
    <row r="9" spans="1:11">
      <c r="A9" s="20" t="s">
        <v>23</v>
      </c>
      <c r="B9" s="20" t="s">
        <v>24</v>
      </c>
      <c r="C9" s="20" t="s">
        <v>25</v>
      </c>
      <c r="D9" s="20" t="str">
        <f>"0,7064"</f>
        <v>0,7064</v>
      </c>
      <c r="E9" s="20" t="s">
        <v>17</v>
      </c>
      <c r="F9" s="20" t="s">
        <v>18</v>
      </c>
      <c r="G9" s="22" t="s">
        <v>26</v>
      </c>
      <c r="H9" s="22" t="s">
        <v>27</v>
      </c>
      <c r="I9" s="39" t="str">
        <f>"2320,0"</f>
        <v>2320,0</v>
      </c>
      <c r="J9" s="40" t="str">
        <f>"1638,8479"</f>
        <v>1638,8479</v>
      </c>
      <c r="K9" s="20" t="s">
        <v>21</v>
      </c>
    </row>
    <row r="10" spans="1:11">
      <c r="A10" s="23" t="s">
        <v>28</v>
      </c>
      <c r="B10" s="23" t="s">
        <v>29</v>
      </c>
      <c r="C10" s="23" t="s">
        <v>30</v>
      </c>
      <c r="D10" s="23" t="str">
        <f>"0,6983"</f>
        <v>0,6983</v>
      </c>
      <c r="E10" s="23" t="s">
        <v>17</v>
      </c>
      <c r="F10" s="23" t="s">
        <v>18</v>
      </c>
      <c r="G10" s="46" t="s">
        <v>31</v>
      </c>
      <c r="H10" s="46" t="s">
        <v>32</v>
      </c>
      <c r="I10" s="41" t="str">
        <f>"2325,0"</f>
        <v>2325,0</v>
      </c>
      <c r="J10" s="42" t="str">
        <f>"1733,9487"</f>
        <v>1733,9487</v>
      </c>
      <c r="K10" s="23" t="s">
        <v>21</v>
      </c>
    </row>
    <row r="12" ht="14.25" spans="1:8">
      <c r="A12" s="18" t="s">
        <v>33</v>
      </c>
      <c r="B12" s="19"/>
      <c r="C12" s="19"/>
      <c r="D12" s="19"/>
      <c r="E12" s="19"/>
      <c r="F12" s="19"/>
      <c r="G12" s="19"/>
      <c r="H12" s="19"/>
    </row>
    <row r="13" spans="1:11">
      <c r="A13" s="20" t="s">
        <v>34</v>
      </c>
      <c r="B13" s="20" t="s">
        <v>35</v>
      </c>
      <c r="C13" s="20" t="s">
        <v>36</v>
      </c>
      <c r="D13" s="20" t="str">
        <f>"0,6700"</f>
        <v>0,6700</v>
      </c>
      <c r="E13" s="20" t="s">
        <v>17</v>
      </c>
      <c r="F13" s="20" t="s">
        <v>18</v>
      </c>
      <c r="G13" s="22" t="s">
        <v>37</v>
      </c>
      <c r="H13" s="22" t="s">
        <v>38</v>
      </c>
      <c r="I13" s="39" t="str">
        <f>"2000,0"</f>
        <v>2000,0</v>
      </c>
      <c r="J13" s="40" t="str">
        <f>"1339,9000"</f>
        <v>1339,9000</v>
      </c>
      <c r="K13" s="20" t="s">
        <v>21</v>
      </c>
    </row>
    <row r="14" spans="1:11">
      <c r="A14" s="23" t="s">
        <v>39</v>
      </c>
      <c r="B14" s="23" t="s">
        <v>40</v>
      </c>
      <c r="C14" s="23" t="s">
        <v>41</v>
      </c>
      <c r="D14" s="23" t="str">
        <f>"0,6497"</f>
        <v>0,6497</v>
      </c>
      <c r="E14" s="23" t="s">
        <v>17</v>
      </c>
      <c r="F14" s="23" t="s">
        <v>18</v>
      </c>
      <c r="G14" s="46" t="s">
        <v>42</v>
      </c>
      <c r="H14" s="46" t="s">
        <v>20</v>
      </c>
      <c r="I14" s="41" t="str">
        <f>"1320,0"</f>
        <v>1320,0</v>
      </c>
      <c r="J14" s="42" t="str">
        <f>"999,1855"</f>
        <v>999,1855</v>
      </c>
      <c r="K14" s="23" t="s">
        <v>21</v>
      </c>
    </row>
    <row r="16" ht="14.25" spans="1:8">
      <c r="A16" s="18" t="s">
        <v>43</v>
      </c>
      <c r="B16" s="19"/>
      <c r="C16" s="19"/>
      <c r="D16" s="19"/>
      <c r="E16" s="19"/>
      <c r="F16" s="19"/>
      <c r="G16" s="19"/>
      <c r="H16" s="19"/>
    </row>
    <row r="17" spans="1:11">
      <c r="A17" s="16" t="s">
        <v>44</v>
      </c>
      <c r="B17" s="16" t="s">
        <v>45</v>
      </c>
      <c r="C17" s="16" t="s">
        <v>46</v>
      </c>
      <c r="D17" s="16" t="str">
        <f>"0,6188"</f>
        <v>0,6188</v>
      </c>
      <c r="E17" s="16" t="s">
        <v>17</v>
      </c>
      <c r="F17" s="16" t="s">
        <v>47</v>
      </c>
      <c r="G17" s="17" t="s">
        <v>48</v>
      </c>
      <c r="H17" s="17" t="s">
        <v>38</v>
      </c>
      <c r="I17" s="37" t="str">
        <f>"2250,0"</f>
        <v>2250,0</v>
      </c>
      <c r="J17" s="38" t="str">
        <f>"1392,4125"</f>
        <v>1392,4125</v>
      </c>
      <c r="K17" s="16" t="s">
        <v>21</v>
      </c>
    </row>
    <row r="19" ht="14.25" spans="5:5">
      <c r="E19" s="25" t="s">
        <v>49</v>
      </c>
    </row>
    <row r="20" ht="14.25" spans="5:5">
      <c r="E20" s="25" t="s">
        <v>50</v>
      </c>
    </row>
    <row r="21" ht="14.25" spans="5:5">
      <c r="E21" s="25" t="s">
        <v>51</v>
      </c>
    </row>
    <row r="22" ht="14.25" spans="5:5">
      <c r="E22" s="25" t="s">
        <v>52</v>
      </c>
    </row>
    <row r="23" ht="14.25" spans="5:5">
      <c r="E23" s="25" t="s">
        <v>52</v>
      </c>
    </row>
    <row r="24" ht="14.25" spans="5:5">
      <c r="E24" s="25" t="s">
        <v>53</v>
      </c>
    </row>
    <row r="25" ht="14.25" spans="5:5">
      <c r="E25" s="25"/>
    </row>
    <row r="27" ht="18.75" spans="1:2">
      <c r="A27" s="26" t="s">
        <v>54</v>
      </c>
      <c r="B27" s="26"/>
    </row>
    <row r="28" ht="14.25" spans="1:2">
      <c r="A28" s="27" t="s">
        <v>55</v>
      </c>
      <c r="B28" s="27"/>
    </row>
    <row r="29" ht="13.5" spans="1:2">
      <c r="A29" s="28"/>
      <c r="B29" s="29" t="s">
        <v>56</v>
      </c>
    </row>
    <row r="30" ht="13.5" spans="1:5">
      <c r="A30" s="30" t="s">
        <v>57</v>
      </c>
      <c r="B30" s="30" t="s">
        <v>58</v>
      </c>
      <c r="C30" s="30" t="s">
        <v>59</v>
      </c>
      <c r="D30" s="30" t="s">
        <v>60</v>
      </c>
      <c r="E30" s="30" t="s">
        <v>61</v>
      </c>
    </row>
    <row r="31" spans="1:5">
      <c r="A31" s="31" t="s">
        <v>62</v>
      </c>
      <c r="B31" s="3" t="s">
        <v>63</v>
      </c>
      <c r="C31" s="3" t="s">
        <v>64</v>
      </c>
      <c r="D31" s="3" t="s">
        <v>65</v>
      </c>
      <c r="E31" s="5" t="s">
        <v>66</v>
      </c>
    </row>
    <row r="33" ht="13.5" spans="1:2">
      <c r="A33" s="28"/>
      <c r="B33" s="29" t="s">
        <v>67</v>
      </c>
    </row>
    <row r="34" ht="13.5" spans="1:5">
      <c r="A34" s="30" t="s">
        <v>57</v>
      </c>
      <c r="B34" s="30" t="s">
        <v>58</v>
      </c>
      <c r="C34" s="30" t="s">
        <v>59</v>
      </c>
      <c r="D34" s="30" t="s">
        <v>60</v>
      </c>
      <c r="E34" s="30" t="s">
        <v>61</v>
      </c>
    </row>
    <row r="35" spans="1:5">
      <c r="A35" s="31" t="s">
        <v>68</v>
      </c>
      <c r="B35" s="3" t="s">
        <v>67</v>
      </c>
      <c r="C35" s="3" t="s">
        <v>69</v>
      </c>
      <c r="D35" s="3" t="s">
        <v>70</v>
      </c>
      <c r="E35" s="5" t="s">
        <v>71</v>
      </c>
    </row>
    <row r="36" spans="1:5">
      <c r="A36" s="31" t="s">
        <v>72</v>
      </c>
      <c r="B36" s="3" t="s">
        <v>67</v>
      </c>
      <c r="C36" s="3" t="s">
        <v>73</v>
      </c>
      <c r="D36" s="3" t="s">
        <v>74</v>
      </c>
      <c r="E36" s="5" t="s">
        <v>75</v>
      </c>
    </row>
    <row r="37" spans="1:5">
      <c r="A37" s="31" t="s">
        <v>76</v>
      </c>
      <c r="B37" s="3" t="s">
        <v>67</v>
      </c>
      <c r="C37" s="3" t="s">
        <v>77</v>
      </c>
      <c r="D37" s="3" t="s">
        <v>78</v>
      </c>
      <c r="E37" s="5" t="s">
        <v>79</v>
      </c>
    </row>
    <row r="39" ht="13.5" spans="1:2">
      <c r="A39" s="28"/>
      <c r="B39" s="29" t="s">
        <v>80</v>
      </c>
    </row>
    <row r="40" ht="13.5" spans="1:5">
      <c r="A40" s="30" t="s">
        <v>57</v>
      </c>
      <c r="B40" s="30" t="s">
        <v>58</v>
      </c>
      <c r="C40" s="30" t="s">
        <v>59</v>
      </c>
      <c r="D40" s="30" t="s">
        <v>60</v>
      </c>
      <c r="E40" s="30" t="s">
        <v>61</v>
      </c>
    </row>
    <row r="41" spans="1:5">
      <c r="A41" s="31" t="s">
        <v>81</v>
      </c>
      <c r="B41" s="3" t="s">
        <v>82</v>
      </c>
      <c r="C41" s="3" t="s">
        <v>69</v>
      </c>
      <c r="D41" s="3" t="s">
        <v>83</v>
      </c>
      <c r="E41" s="5" t="s">
        <v>84</v>
      </c>
    </row>
    <row r="42" spans="1:5">
      <c r="A42" s="31" t="s">
        <v>85</v>
      </c>
      <c r="B42" s="3" t="s">
        <v>86</v>
      </c>
      <c r="C42" s="3" t="s">
        <v>77</v>
      </c>
      <c r="D42" s="3" t="s">
        <v>87</v>
      </c>
      <c r="E42" s="5" t="s">
        <v>88</v>
      </c>
    </row>
  </sheetData>
  <mergeCells count="15">
    <mergeCell ref="G3:H3"/>
    <mergeCell ref="A5:H5"/>
    <mergeCell ref="A8:H8"/>
    <mergeCell ref="A12:H12"/>
    <mergeCell ref="A16:H16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5.2190476190476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26.8857142857143" style="3" customWidth="1"/>
    <col min="7" max="9" width="5.55238095238095" style="4" customWidth="1"/>
    <col min="10" max="10" width="4.55238095238095" style="4" customWidth="1"/>
    <col min="11" max="11" width="7.66666666666667" style="5" customWidth="1"/>
    <col min="12" max="12" width="8.55238095238095" style="1" customWidth="1"/>
    <col min="13" max="13" width="8.33333333333333" style="3" customWidth="1"/>
    <col min="14" max="16384" width="9.1047619047619" style="4"/>
  </cols>
  <sheetData>
    <row r="1" s="1" customFormat="1" ht="28.95" customHeight="1" spans="1:13">
      <c r="A1" s="6" t="s">
        <v>352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265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233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6" t="s">
        <v>353</v>
      </c>
      <c r="B6" s="16" t="s">
        <v>354</v>
      </c>
      <c r="C6" s="16" t="s">
        <v>355</v>
      </c>
      <c r="D6" s="16" t="str">
        <f>"0,5642"</f>
        <v>0,5642</v>
      </c>
      <c r="E6" s="16" t="s">
        <v>17</v>
      </c>
      <c r="F6" s="16" t="s">
        <v>356</v>
      </c>
      <c r="G6" s="17" t="s">
        <v>357</v>
      </c>
      <c r="H6" s="32" t="s">
        <v>358</v>
      </c>
      <c r="I6" s="32" t="s">
        <v>358</v>
      </c>
      <c r="J6" s="32"/>
      <c r="K6" s="37" t="str">
        <f>"345,0"</f>
        <v>345,0</v>
      </c>
      <c r="L6" s="38" t="str">
        <f>"194,6662"</f>
        <v>194,6662</v>
      </c>
      <c r="M6" s="16" t="s">
        <v>21</v>
      </c>
    </row>
    <row r="8" ht="14.25" spans="5:5">
      <c r="E8" s="25" t="s">
        <v>49</v>
      </c>
    </row>
    <row r="9" ht="14.25" spans="5:5">
      <c r="E9" s="25" t="s">
        <v>50</v>
      </c>
    </row>
    <row r="10" ht="14.25" spans="5:5">
      <c r="E10" s="25" t="s">
        <v>51</v>
      </c>
    </row>
    <row r="11" ht="14.25" spans="5:5">
      <c r="E11" s="25" t="s">
        <v>52</v>
      </c>
    </row>
    <row r="12" ht="14.25" spans="5:5">
      <c r="E12" s="25" t="s">
        <v>52</v>
      </c>
    </row>
    <row r="13" ht="14.25" spans="5:5">
      <c r="E13" s="25" t="s">
        <v>53</v>
      </c>
    </row>
    <row r="14" ht="14.25" spans="5:5">
      <c r="E14" s="25"/>
    </row>
    <row r="16" ht="18.75" spans="1:2">
      <c r="A16" s="26" t="s">
        <v>54</v>
      </c>
      <c r="B16" s="26"/>
    </row>
    <row r="17" ht="14.25" spans="1:2">
      <c r="A17" s="27" t="s">
        <v>55</v>
      </c>
      <c r="B17" s="27"/>
    </row>
    <row r="18" ht="13.5" spans="1:2">
      <c r="A18" s="28"/>
      <c r="B18" s="29" t="s">
        <v>67</v>
      </c>
    </row>
    <row r="19" ht="13.5" spans="1:5">
      <c r="A19" s="30" t="s">
        <v>57</v>
      </c>
      <c r="B19" s="30" t="s">
        <v>58</v>
      </c>
      <c r="C19" s="30" t="s">
        <v>59</v>
      </c>
      <c r="D19" s="30" t="s">
        <v>60</v>
      </c>
      <c r="E19" s="30" t="s">
        <v>61</v>
      </c>
    </row>
    <row r="20" spans="1:5">
      <c r="A20" s="31" t="s">
        <v>359</v>
      </c>
      <c r="B20" s="3" t="s">
        <v>67</v>
      </c>
      <c r="C20" s="3" t="s">
        <v>243</v>
      </c>
      <c r="D20" s="3" t="s">
        <v>357</v>
      </c>
      <c r="E20" s="5" t="s">
        <v>360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9.8857142857143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36.1047619047619" style="3" customWidth="1"/>
    <col min="7" max="9" width="5.55238095238095" style="4" customWidth="1"/>
    <col min="10" max="10" width="4.55238095238095" style="4" customWidth="1"/>
    <col min="11" max="11" width="7.66666666666667" style="5" customWidth="1"/>
    <col min="12" max="12" width="8.55238095238095" style="1" customWidth="1"/>
    <col min="13" max="13" width="13.4380952380952" style="3" customWidth="1"/>
    <col min="14" max="16384" width="9.1047619047619" style="4"/>
  </cols>
  <sheetData>
    <row r="1" s="1" customFormat="1" ht="28.95" customHeight="1" spans="1:13">
      <c r="A1" s="6" t="s">
        <v>361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362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6" t="s">
        <v>363</v>
      </c>
      <c r="B6" s="16" t="s">
        <v>364</v>
      </c>
      <c r="C6" s="16" t="s">
        <v>365</v>
      </c>
      <c r="D6" s="16" t="str">
        <f>"0,7503"</f>
        <v>0,7503</v>
      </c>
      <c r="E6" s="16" t="s">
        <v>366</v>
      </c>
      <c r="F6" s="16" t="s">
        <v>367</v>
      </c>
      <c r="G6" s="17" t="s">
        <v>291</v>
      </c>
      <c r="H6" s="32" t="s">
        <v>368</v>
      </c>
      <c r="I6" s="17" t="s">
        <v>368</v>
      </c>
      <c r="J6" s="32"/>
      <c r="K6" s="37" t="str">
        <f>"190,0"</f>
        <v>190,0</v>
      </c>
      <c r="L6" s="38" t="str">
        <f>"142,5665"</f>
        <v>142,5665</v>
      </c>
      <c r="M6" s="16" t="s">
        <v>369</v>
      </c>
    </row>
    <row r="8" ht="14.25" spans="1:10">
      <c r="A8" s="18" t="s">
        <v>233</v>
      </c>
      <c r="B8" s="19"/>
      <c r="C8" s="19"/>
      <c r="D8" s="19"/>
      <c r="E8" s="19"/>
      <c r="F8" s="19"/>
      <c r="G8" s="19"/>
      <c r="H8" s="19"/>
      <c r="I8" s="19"/>
      <c r="J8" s="19"/>
    </row>
    <row r="9" spans="1:13">
      <c r="A9" s="20" t="s">
        <v>370</v>
      </c>
      <c r="B9" s="20" t="s">
        <v>371</v>
      </c>
      <c r="C9" s="20" t="s">
        <v>372</v>
      </c>
      <c r="D9" s="20" t="str">
        <f>"0,5706"</f>
        <v>0,5706</v>
      </c>
      <c r="E9" s="20" t="s">
        <v>17</v>
      </c>
      <c r="F9" s="20" t="s">
        <v>373</v>
      </c>
      <c r="G9" s="22" t="s">
        <v>316</v>
      </c>
      <c r="H9" s="22" t="s">
        <v>323</v>
      </c>
      <c r="I9" s="21" t="s">
        <v>374</v>
      </c>
      <c r="J9" s="21"/>
      <c r="K9" s="39" t="str">
        <f>"225,0"</f>
        <v>225,0</v>
      </c>
      <c r="L9" s="40" t="str">
        <f>"128,3962"</f>
        <v>128,3962</v>
      </c>
      <c r="M9" s="20" t="s">
        <v>21</v>
      </c>
    </row>
    <row r="10" spans="1:13">
      <c r="A10" s="23" t="s">
        <v>375</v>
      </c>
      <c r="B10" s="23" t="s">
        <v>376</v>
      </c>
      <c r="C10" s="23" t="s">
        <v>377</v>
      </c>
      <c r="D10" s="23" t="str">
        <f>"0,5627"</f>
        <v>0,5627</v>
      </c>
      <c r="E10" s="23" t="s">
        <v>17</v>
      </c>
      <c r="F10" s="23" t="s">
        <v>18</v>
      </c>
      <c r="G10" s="24" t="s">
        <v>316</v>
      </c>
      <c r="H10" s="24" t="s">
        <v>316</v>
      </c>
      <c r="I10" s="46" t="s">
        <v>378</v>
      </c>
      <c r="J10" s="24"/>
      <c r="K10" s="41" t="str">
        <f>"212,5"</f>
        <v>212,5</v>
      </c>
      <c r="L10" s="42" t="str">
        <f>"137,1389"</f>
        <v>137,1389</v>
      </c>
      <c r="M10" s="23" t="s">
        <v>21</v>
      </c>
    </row>
    <row r="12" ht="14.25" spans="5:5">
      <c r="E12" s="25" t="s">
        <v>49</v>
      </c>
    </row>
    <row r="13" ht="14.25" spans="5:5">
      <c r="E13" s="25" t="s">
        <v>50</v>
      </c>
    </row>
    <row r="14" ht="14.25" spans="5:5">
      <c r="E14" s="25" t="s">
        <v>51</v>
      </c>
    </row>
    <row r="15" ht="14.25" spans="5:5">
      <c r="E15" s="25" t="s">
        <v>52</v>
      </c>
    </row>
    <row r="16" ht="14.25" spans="5:5">
      <c r="E16" s="25" t="s">
        <v>52</v>
      </c>
    </row>
    <row r="17" ht="14.25" spans="5:5">
      <c r="E17" s="25" t="s">
        <v>53</v>
      </c>
    </row>
    <row r="18" ht="14.25" spans="5:5">
      <c r="E18" s="25"/>
    </row>
    <row r="20" ht="18.75" spans="1:2">
      <c r="A20" s="26" t="s">
        <v>54</v>
      </c>
      <c r="B20" s="26"/>
    </row>
    <row r="21" ht="14.25" spans="1:2">
      <c r="A21" s="27" t="s">
        <v>55</v>
      </c>
      <c r="B21" s="27"/>
    </row>
    <row r="22" ht="13.5" spans="1:2">
      <c r="A22" s="28"/>
      <c r="B22" s="29" t="s">
        <v>56</v>
      </c>
    </row>
    <row r="23" ht="13.5" spans="1:5">
      <c r="A23" s="30" t="s">
        <v>57</v>
      </c>
      <c r="B23" s="30" t="s">
        <v>58</v>
      </c>
      <c r="C23" s="30" t="s">
        <v>59</v>
      </c>
      <c r="D23" s="30" t="s">
        <v>60</v>
      </c>
      <c r="E23" s="30" t="s">
        <v>61</v>
      </c>
    </row>
    <row r="24" spans="1:5">
      <c r="A24" s="31" t="s">
        <v>379</v>
      </c>
      <c r="B24" s="3" t="s">
        <v>63</v>
      </c>
      <c r="C24" s="3" t="s">
        <v>64</v>
      </c>
      <c r="D24" s="3" t="s">
        <v>368</v>
      </c>
      <c r="E24" s="5" t="s">
        <v>380</v>
      </c>
    </row>
    <row r="26" ht="13.5" spans="1:2">
      <c r="A26" s="28"/>
      <c r="B26" s="29" t="s">
        <v>67</v>
      </c>
    </row>
    <row r="27" ht="13.5" spans="1:5">
      <c r="A27" s="30" t="s">
        <v>57</v>
      </c>
      <c r="B27" s="30" t="s">
        <v>58</v>
      </c>
      <c r="C27" s="30" t="s">
        <v>59</v>
      </c>
      <c r="D27" s="30" t="s">
        <v>60</v>
      </c>
      <c r="E27" s="30" t="s">
        <v>61</v>
      </c>
    </row>
    <row r="28" spans="1:5">
      <c r="A28" s="31" t="s">
        <v>381</v>
      </c>
      <c r="B28" s="3" t="s">
        <v>67</v>
      </c>
      <c r="C28" s="3" t="s">
        <v>243</v>
      </c>
      <c r="D28" s="3" t="s">
        <v>323</v>
      </c>
      <c r="E28" s="5" t="s">
        <v>382</v>
      </c>
    </row>
    <row r="30" ht="13.5" spans="1:2">
      <c r="A30" s="28"/>
      <c r="B30" s="29" t="s">
        <v>80</v>
      </c>
    </row>
    <row r="31" ht="13.5" spans="1:5">
      <c r="A31" s="30" t="s">
        <v>57</v>
      </c>
      <c r="B31" s="30" t="s">
        <v>58</v>
      </c>
      <c r="C31" s="30" t="s">
        <v>59</v>
      </c>
      <c r="D31" s="30" t="s">
        <v>60</v>
      </c>
      <c r="E31" s="30" t="s">
        <v>61</v>
      </c>
    </row>
    <row r="32" spans="1:5">
      <c r="A32" s="31" t="s">
        <v>383</v>
      </c>
      <c r="B32" s="3" t="s">
        <v>384</v>
      </c>
      <c r="C32" s="3" t="s">
        <v>243</v>
      </c>
      <c r="D32" s="3" t="s">
        <v>378</v>
      </c>
      <c r="E32" s="5" t="s">
        <v>385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7.6666666666667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28.7809523809524" style="3" customWidth="1"/>
    <col min="7" max="10" width="4.55238095238095" style="4" customWidth="1"/>
    <col min="11" max="11" width="7.66666666666667" style="5" customWidth="1"/>
    <col min="12" max="12" width="7.55238095238095" style="1" customWidth="1"/>
    <col min="13" max="13" width="8.33333333333333" style="3" customWidth="1"/>
    <col min="14" max="16384" width="9.1047619047619" style="4"/>
  </cols>
  <sheetData>
    <row r="1" s="1" customFormat="1" ht="28.95" customHeight="1" spans="1:13">
      <c r="A1" s="6" t="s">
        <v>386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387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6" t="s">
        <v>388</v>
      </c>
      <c r="B6" s="16" t="s">
        <v>389</v>
      </c>
      <c r="C6" s="16" t="s">
        <v>390</v>
      </c>
      <c r="D6" s="16" t="str">
        <f>"0,6153"</f>
        <v>0,6153</v>
      </c>
      <c r="E6" s="16" t="s">
        <v>17</v>
      </c>
      <c r="F6" s="16" t="s">
        <v>307</v>
      </c>
      <c r="G6" s="17" t="s">
        <v>149</v>
      </c>
      <c r="H6" s="17" t="s">
        <v>229</v>
      </c>
      <c r="I6" s="32" t="s">
        <v>31</v>
      </c>
      <c r="J6" s="32"/>
      <c r="K6" s="37" t="str">
        <f>"65,0"</f>
        <v>65,0</v>
      </c>
      <c r="L6" s="38" t="str">
        <f>"39,9945"</f>
        <v>39,9945</v>
      </c>
      <c r="M6" s="16" t="s">
        <v>21</v>
      </c>
    </row>
    <row r="8" ht="14.25" spans="5:5">
      <c r="E8" s="25" t="s">
        <v>49</v>
      </c>
    </row>
    <row r="9" ht="14.25" spans="5:5">
      <c r="E9" s="25" t="s">
        <v>50</v>
      </c>
    </row>
    <row r="10" ht="14.25" spans="5:5">
      <c r="E10" s="25" t="s">
        <v>51</v>
      </c>
    </row>
    <row r="11" ht="14.25" spans="5:5">
      <c r="E11" s="25" t="s">
        <v>52</v>
      </c>
    </row>
    <row r="12" ht="14.25" spans="5:5">
      <c r="E12" s="25" t="s">
        <v>52</v>
      </c>
    </row>
    <row r="13" ht="14.25" spans="5:5">
      <c r="E13" s="25" t="s">
        <v>53</v>
      </c>
    </row>
    <row r="14" ht="14.25" spans="5:5">
      <c r="E14" s="25"/>
    </row>
    <row r="16" ht="18.75" spans="1:2">
      <c r="A16" s="26" t="s">
        <v>54</v>
      </c>
      <c r="B16" s="26"/>
    </row>
    <row r="17" ht="14.25" spans="1:2">
      <c r="A17" s="27" t="s">
        <v>55</v>
      </c>
      <c r="B17" s="27"/>
    </row>
    <row r="18" ht="13.5" spans="1:2">
      <c r="A18" s="28"/>
      <c r="B18" s="29" t="s">
        <v>238</v>
      </c>
    </row>
    <row r="19" ht="13.5" spans="1:5">
      <c r="A19" s="30" t="s">
        <v>57</v>
      </c>
      <c r="B19" s="30" t="s">
        <v>58</v>
      </c>
      <c r="C19" s="30" t="s">
        <v>59</v>
      </c>
      <c r="D19" s="30" t="s">
        <v>60</v>
      </c>
      <c r="E19" s="30" t="s">
        <v>61</v>
      </c>
    </row>
    <row r="20" spans="1:5">
      <c r="A20" s="31" t="s">
        <v>391</v>
      </c>
      <c r="B20" s="3" t="s">
        <v>392</v>
      </c>
      <c r="C20" s="3" t="s">
        <v>73</v>
      </c>
      <c r="D20" s="3" t="s">
        <v>229</v>
      </c>
      <c r="E20" s="5" t="s">
        <v>393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9.8857142857143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33.1047619047619" style="3" customWidth="1"/>
    <col min="7" max="9" width="5.55238095238095" style="4" customWidth="1"/>
    <col min="10" max="10" width="4.55238095238095" style="4" customWidth="1"/>
    <col min="11" max="11" width="7.66666666666667" style="5" customWidth="1"/>
    <col min="12" max="12" width="8.55238095238095" style="1" customWidth="1"/>
    <col min="13" max="13" width="23.8857142857143" style="3" customWidth="1"/>
    <col min="14" max="16384" width="9.1047619047619" style="4"/>
  </cols>
  <sheetData>
    <row r="1" s="1" customFormat="1" ht="28.95" customHeight="1" spans="1:13">
      <c r="A1" s="6" t="s">
        <v>394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362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266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6" t="s">
        <v>395</v>
      </c>
      <c r="B6" s="16" t="s">
        <v>396</v>
      </c>
      <c r="C6" s="16" t="s">
        <v>397</v>
      </c>
      <c r="D6" s="16" t="str">
        <f>"1,1178"</f>
        <v>1,1178</v>
      </c>
      <c r="E6" s="16" t="s">
        <v>17</v>
      </c>
      <c r="F6" s="16" t="s">
        <v>18</v>
      </c>
      <c r="G6" s="17" t="s">
        <v>200</v>
      </c>
      <c r="H6" s="32" t="s">
        <v>150</v>
      </c>
      <c r="I6" s="32" t="s">
        <v>206</v>
      </c>
      <c r="J6" s="32"/>
      <c r="K6" s="37" t="str">
        <f>"52,5"</f>
        <v>52,5</v>
      </c>
      <c r="L6" s="38" t="str">
        <f>"58,6845"</f>
        <v>58,6845</v>
      </c>
      <c r="M6" s="16" t="s">
        <v>21</v>
      </c>
    </row>
    <row r="8" ht="14.25" spans="1:10">
      <c r="A8" s="18" t="s">
        <v>13</v>
      </c>
      <c r="B8" s="19"/>
      <c r="C8" s="19"/>
      <c r="D8" s="19"/>
      <c r="E8" s="19"/>
      <c r="F8" s="19"/>
      <c r="G8" s="19"/>
      <c r="H8" s="19"/>
      <c r="I8" s="19"/>
      <c r="J8" s="19"/>
    </row>
    <row r="9" spans="1:13">
      <c r="A9" s="16" t="s">
        <v>398</v>
      </c>
      <c r="B9" s="16" t="s">
        <v>399</v>
      </c>
      <c r="C9" s="16" t="s">
        <v>400</v>
      </c>
      <c r="D9" s="16" t="str">
        <f>"0,9392"</f>
        <v>0,9392</v>
      </c>
      <c r="E9" s="16" t="s">
        <v>17</v>
      </c>
      <c r="F9" s="16" t="s">
        <v>18</v>
      </c>
      <c r="G9" s="17" t="s">
        <v>26</v>
      </c>
      <c r="H9" s="32" t="s">
        <v>31</v>
      </c>
      <c r="I9" s="17" t="s">
        <v>31</v>
      </c>
      <c r="J9" s="32"/>
      <c r="K9" s="37" t="str">
        <f>"75,0"</f>
        <v>75,0</v>
      </c>
      <c r="L9" s="38" t="str">
        <f>"70,4400"</f>
        <v>70,4400</v>
      </c>
      <c r="M9" s="16" t="s">
        <v>21</v>
      </c>
    </row>
    <row r="11" ht="14.25" spans="1:10">
      <c r="A11" s="18" t="s">
        <v>401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3">
      <c r="A12" s="16" t="s">
        <v>402</v>
      </c>
      <c r="B12" s="16" t="s">
        <v>403</v>
      </c>
      <c r="C12" s="16" t="s">
        <v>404</v>
      </c>
      <c r="D12" s="16" t="str">
        <f>"0,9096"</f>
        <v>0,9096</v>
      </c>
      <c r="E12" s="16" t="s">
        <v>17</v>
      </c>
      <c r="F12" s="16" t="s">
        <v>18</v>
      </c>
      <c r="G12" s="32" t="s">
        <v>405</v>
      </c>
      <c r="H12" s="32" t="s">
        <v>405</v>
      </c>
      <c r="I12" s="32" t="s">
        <v>405</v>
      </c>
      <c r="J12" s="32"/>
      <c r="K12" s="37" t="str">
        <f>"0.00"</f>
        <v>0.00</v>
      </c>
      <c r="L12" s="38" t="str">
        <f>"0,0000"</f>
        <v>0,0000</v>
      </c>
      <c r="M12" s="16" t="s">
        <v>21</v>
      </c>
    </row>
    <row r="14" ht="14.25" spans="1:10">
      <c r="A14" s="18" t="s">
        <v>13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3">
      <c r="A15" s="16" t="s">
        <v>14</v>
      </c>
      <c r="B15" s="16" t="s">
        <v>15</v>
      </c>
      <c r="C15" s="16" t="s">
        <v>16</v>
      </c>
      <c r="D15" s="16" t="str">
        <f>"0,7722"</f>
        <v>0,7722</v>
      </c>
      <c r="E15" s="16" t="s">
        <v>17</v>
      </c>
      <c r="F15" s="16" t="s">
        <v>18</v>
      </c>
      <c r="G15" s="17" t="s">
        <v>406</v>
      </c>
      <c r="H15" s="17" t="s">
        <v>407</v>
      </c>
      <c r="I15" s="17" t="s">
        <v>408</v>
      </c>
      <c r="J15" s="32"/>
      <c r="K15" s="37" t="str">
        <f>"107,5"</f>
        <v>107,5</v>
      </c>
      <c r="L15" s="38" t="str">
        <f>"83,0169"</f>
        <v>83,0169</v>
      </c>
      <c r="M15" s="16" t="s">
        <v>21</v>
      </c>
    </row>
    <row r="17" ht="14.25" spans="1:10">
      <c r="A17" s="18" t="s">
        <v>22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3">
      <c r="A18" s="20" t="s">
        <v>23</v>
      </c>
      <c r="B18" s="20" t="s">
        <v>24</v>
      </c>
      <c r="C18" s="20" t="s">
        <v>25</v>
      </c>
      <c r="D18" s="20" t="str">
        <f>"0,7064"</f>
        <v>0,7064</v>
      </c>
      <c r="E18" s="20" t="s">
        <v>17</v>
      </c>
      <c r="F18" s="20" t="s">
        <v>18</v>
      </c>
      <c r="G18" s="22" t="s">
        <v>409</v>
      </c>
      <c r="H18" s="22" t="s">
        <v>410</v>
      </c>
      <c r="I18" s="21" t="s">
        <v>171</v>
      </c>
      <c r="J18" s="21"/>
      <c r="K18" s="39" t="str">
        <f>"132,5"</f>
        <v>132,5</v>
      </c>
      <c r="L18" s="40" t="str">
        <f>"93,5980"</f>
        <v>93,5980</v>
      </c>
      <c r="M18" s="20" t="s">
        <v>21</v>
      </c>
    </row>
    <row r="19" spans="1:13">
      <c r="A19" s="43" t="s">
        <v>411</v>
      </c>
      <c r="B19" s="43" t="s">
        <v>412</v>
      </c>
      <c r="C19" s="43" t="s">
        <v>413</v>
      </c>
      <c r="D19" s="43" t="str">
        <f>"0,7348"</f>
        <v>0,7348</v>
      </c>
      <c r="E19" s="43" t="s">
        <v>17</v>
      </c>
      <c r="F19" s="43" t="s">
        <v>18</v>
      </c>
      <c r="G19" s="44" t="s">
        <v>167</v>
      </c>
      <c r="H19" s="44" t="s">
        <v>170</v>
      </c>
      <c r="I19" s="45" t="s">
        <v>280</v>
      </c>
      <c r="J19" s="45"/>
      <c r="K19" s="47" t="str">
        <f>"120,0"</f>
        <v>120,0</v>
      </c>
      <c r="L19" s="48" t="str">
        <f>"88,1820"</f>
        <v>88,1820</v>
      </c>
      <c r="M19" s="43" t="s">
        <v>21</v>
      </c>
    </row>
    <row r="20" spans="1:13">
      <c r="A20" s="43" t="s">
        <v>414</v>
      </c>
      <c r="B20" s="43" t="s">
        <v>415</v>
      </c>
      <c r="C20" s="43" t="s">
        <v>416</v>
      </c>
      <c r="D20" s="43" t="str">
        <f>"0,6940"</f>
        <v>0,6940</v>
      </c>
      <c r="E20" s="43" t="s">
        <v>17</v>
      </c>
      <c r="F20" s="43" t="s">
        <v>417</v>
      </c>
      <c r="G20" s="44" t="s">
        <v>418</v>
      </c>
      <c r="H20" s="45" t="s">
        <v>170</v>
      </c>
      <c r="I20" s="45" t="s">
        <v>170</v>
      </c>
      <c r="J20" s="45"/>
      <c r="K20" s="47" t="str">
        <f>"110,0"</f>
        <v>110,0</v>
      </c>
      <c r="L20" s="48" t="str">
        <f>"76,3400"</f>
        <v>76,3400</v>
      </c>
      <c r="M20" s="43" t="s">
        <v>21</v>
      </c>
    </row>
    <row r="21" spans="1:13">
      <c r="A21" s="43" t="s">
        <v>419</v>
      </c>
      <c r="B21" s="43" t="s">
        <v>420</v>
      </c>
      <c r="C21" s="43" t="s">
        <v>421</v>
      </c>
      <c r="D21" s="43" t="str">
        <f>"0,7383"</f>
        <v>0,7383</v>
      </c>
      <c r="E21" s="43" t="s">
        <v>17</v>
      </c>
      <c r="F21" s="43" t="s">
        <v>422</v>
      </c>
      <c r="G21" s="44" t="s">
        <v>165</v>
      </c>
      <c r="H21" s="44" t="s">
        <v>270</v>
      </c>
      <c r="I21" s="44" t="s">
        <v>166</v>
      </c>
      <c r="J21" s="45"/>
      <c r="K21" s="47" t="str">
        <f>"105,0"</f>
        <v>105,0</v>
      </c>
      <c r="L21" s="48" t="str">
        <f>"77,5267"</f>
        <v>77,5267</v>
      </c>
      <c r="M21" s="43" t="s">
        <v>21</v>
      </c>
    </row>
    <row r="22" spans="1:13">
      <c r="A22" s="23" t="s">
        <v>28</v>
      </c>
      <c r="B22" s="23" t="s">
        <v>205</v>
      </c>
      <c r="C22" s="23" t="s">
        <v>30</v>
      </c>
      <c r="D22" s="23" t="str">
        <f>"0,6983"</f>
        <v>0,6983</v>
      </c>
      <c r="E22" s="23" t="s">
        <v>17</v>
      </c>
      <c r="F22" s="23" t="s">
        <v>18</v>
      </c>
      <c r="G22" s="46" t="s">
        <v>418</v>
      </c>
      <c r="H22" s="46" t="s">
        <v>275</v>
      </c>
      <c r="I22" s="46" t="s">
        <v>171</v>
      </c>
      <c r="J22" s="24"/>
      <c r="K22" s="41" t="str">
        <f>"135,0"</f>
        <v>135,0</v>
      </c>
      <c r="L22" s="42" t="str">
        <f>"100,6809"</f>
        <v>100,6809</v>
      </c>
      <c r="M22" s="23" t="s">
        <v>21</v>
      </c>
    </row>
    <row r="24" ht="14.25" spans="1:10">
      <c r="A24" s="18" t="s">
        <v>33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3">
      <c r="A25" s="20" t="s">
        <v>423</v>
      </c>
      <c r="B25" s="20" t="s">
        <v>424</v>
      </c>
      <c r="C25" s="20" t="s">
        <v>425</v>
      </c>
      <c r="D25" s="20" t="str">
        <f>"0,6540"</f>
        <v>0,6540</v>
      </c>
      <c r="E25" s="20" t="s">
        <v>17</v>
      </c>
      <c r="F25" s="20" t="s">
        <v>307</v>
      </c>
      <c r="G25" s="21" t="s">
        <v>274</v>
      </c>
      <c r="H25" s="22" t="s">
        <v>274</v>
      </c>
      <c r="I25" s="21"/>
      <c r="J25" s="21"/>
      <c r="K25" s="39" t="str">
        <f>"112,5"</f>
        <v>112,5</v>
      </c>
      <c r="L25" s="40" t="str">
        <f>"73,5750"</f>
        <v>73,5750</v>
      </c>
      <c r="M25" s="20" t="s">
        <v>21</v>
      </c>
    </row>
    <row r="26" spans="1:13">
      <c r="A26" s="43" t="s">
        <v>426</v>
      </c>
      <c r="B26" s="43" t="s">
        <v>427</v>
      </c>
      <c r="C26" s="43" t="s">
        <v>428</v>
      </c>
      <c r="D26" s="43" t="str">
        <f>"0,6471"</f>
        <v>0,6471</v>
      </c>
      <c r="E26" s="43" t="s">
        <v>17</v>
      </c>
      <c r="F26" s="43" t="s">
        <v>18</v>
      </c>
      <c r="G26" s="44" t="s">
        <v>280</v>
      </c>
      <c r="H26" s="44" t="s">
        <v>171</v>
      </c>
      <c r="I26" s="44" t="s">
        <v>157</v>
      </c>
      <c r="J26" s="45"/>
      <c r="K26" s="47" t="str">
        <f>"140,0"</f>
        <v>140,0</v>
      </c>
      <c r="L26" s="48" t="str">
        <f>"90,6010"</f>
        <v>90,6010</v>
      </c>
      <c r="M26" s="43" t="s">
        <v>21</v>
      </c>
    </row>
    <row r="27" spans="1:13">
      <c r="A27" s="43" t="s">
        <v>429</v>
      </c>
      <c r="B27" s="43" t="s">
        <v>430</v>
      </c>
      <c r="C27" s="43" t="s">
        <v>431</v>
      </c>
      <c r="D27" s="43" t="str">
        <f>"0,6503"</f>
        <v>0,6503</v>
      </c>
      <c r="E27" s="43" t="s">
        <v>17</v>
      </c>
      <c r="F27" s="43" t="s">
        <v>18</v>
      </c>
      <c r="G27" s="45" t="s">
        <v>409</v>
      </c>
      <c r="H27" s="44" t="s">
        <v>409</v>
      </c>
      <c r="I27" s="45" t="s">
        <v>156</v>
      </c>
      <c r="J27" s="45"/>
      <c r="K27" s="47" t="str">
        <f>"127,5"</f>
        <v>127,5</v>
      </c>
      <c r="L27" s="48" t="str">
        <f>"82,9069"</f>
        <v>82,9069</v>
      </c>
      <c r="M27" s="43" t="s">
        <v>21</v>
      </c>
    </row>
    <row r="28" spans="1:13">
      <c r="A28" s="43" t="s">
        <v>432</v>
      </c>
      <c r="B28" s="43" t="s">
        <v>222</v>
      </c>
      <c r="C28" s="43" t="s">
        <v>223</v>
      </c>
      <c r="D28" s="43" t="str">
        <f>"0,6535"</f>
        <v>0,6535</v>
      </c>
      <c r="E28" s="43" t="s">
        <v>17</v>
      </c>
      <c r="F28" s="43" t="s">
        <v>224</v>
      </c>
      <c r="G28" s="44" t="s">
        <v>418</v>
      </c>
      <c r="H28" s="45" t="s">
        <v>167</v>
      </c>
      <c r="I28" s="45" t="s">
        <v>167</v>
      </c>
      <c r="J28" s="45"/>
      <c r="K28" s="47" t="str">
        <f>"110,0"</f>
        <v>110,0</v>
      </c>
      <c r="L28" s="48" t="str">
        <f>"71,8795"</f>
        <v>71,8795</v>
      </c>
      <c r="M28" s="43" t="s">
        <v>21</v>
      </c>
    </row>
    <row r="29" spans="1:13">
      <c r="A29" s="43" t="s">
        <v>433</v>
      </c>
      <c r="B29" s="43" t="s">
        <v>434</v>
      </c>
      <c r="C29" s="43" t="s">
        <v>41</v>
      </c>
      <c r="D29" s="43" t="str">
        <f>"0,6497"</f>
        <v>0,6497</v>
      </c>
      <c r="E29" s="43" t="s">
        <v>17</v>
      </c>
      <c r="F29" s="43" t="s">
        <v>435</v>
      </c>
      <c r="G29" s="45" t="s">
        <v>157</v>
      </c>
      <c r="H29" s="45" t="s">
        <v>157</v>
      </c>
      <c r="I29" s="45" t="s">
        <v>157</v>
      </c>
      <c r="J29" s="45"/>
      <c r="K29" s="47" t="str">
        <f>"0.00"</f>
        <v>0.00</v>
      </c>
      <c r="L29" s="48" t="str">
        <f>"0,0000"</f>
        <v>0,0000</v>
      </c>
      <c r="M29" s="43" t="s">
        <v>21</v>
      </c>
    </row>
    <row r="30" spans="1:13">
      <c r="A30" s="23" t="s">
        <v>39</v>
      </c>
      <c r="B30" s="23" t="s">
        <v>436</v>
      </c>
      <c r="C30" s="23" t="s">
        <v>41</v>
      </c>
      <c r="D30" s="23" t="str">
        <f>"0,6497"</f>
        <v>0,6497</v>
      </c>
      <c r="E30" s="23" t="s">
        <v>17</v>
      </c>
      <c r="F30" s="23" t="s">
        <v>18</v>
      </c>
      <c r="G30" s="46" t="s">
        <v>418</v>
      </c>
      <c r="H30" s="24" t="s">
        <v>167</v>
      </c>
      <c r="I30" s="24" t="s">
        <v>167</v>
      </c>
      <c r="J30" s="24"/>
      <c r="K30" s="41" t="str">
        <f>"110,0"</f>
        <v>110,0</v>
      </c>
      <c r="L30" s="42" t="str">
        <f>"83,2655"</f>
        <v>83,2655</v>
      </c>
      <c r="M30" s="23" t="s">
        <v>21</v>
      </c>
    </row>
    <row r="32" ht="14.25" spans="1:10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3">
      <c r="A33" s="20" t="s">
        <v>437</v>
      </c>
      <c r="B33" s="20" t="s">
        <v>438</v>
      </c>
      <c r="C33" s="20" t="s">
        <v>439</v>
      </c>
      <c r="D33" s="20" t="str">
        <f>"0,6119"</f>
        <v>0,6119</v>
      </c>
      <c r="E33" s="20" t="s">
        <v>17</v>
      </c>
      <c r="F33" s="20" t="s">
        <v>440</v>
      </c>
      <c r="G33" s="22" t="s">
        <v>441</v>
      </c>
      <c r="H33" s="22" t="s">
        <v>442</v>
      </c>
      <c r="I33" s="21" t="s">
        <v>297</v>
      </c>
      <c r="J33" s="21"/>
      <c r="K33" s="39" t="str">
        <f>"170,0"</f>
        <v>170,0</v>
      </c>
      <c r="L33" s="40" t="str">
        <f>"104,0145"</f>
        <v>104,0145</v>
      </c>
      <c r="M33" s="20" t="s">
        <v>21</v>
      </c>
    </row>
    <row r="34" spans="1:13">
      <c r="A34" s="43" t="s">
        <v>443</v>
      </c>
      <c r="B34" s="43" t="s">
        <v>45</v>
      </c>
      <c r="C34" s="43" t="s">
        <v>46</v>
      </c>
      <c r="D34" s="43" t="str">
        <f>"0,6188"</f>
        <v>0,6188</v>
      </c>
      <c r="E34" s="43" t="s">
        <v>17</v>
      </c>
      <c r="F34" s="43" t="s">
        <v>47</v>
      </c>
      <c r="G34" s="44" t="s">
        <v>444</v>
      </c>
      <c r="H34" s="44" t="s">
        <v>445</v>
      </c>
      <c r="I34" s="45" t="s">
        <v>446</v>
      </c>
      <c r="J34" s="45"/>
      <c r="K34" s="47" t="str">
        <f>"152,5"</f>
        <v>152,5</v>
      </c>
      <c r="L34" s="48" t="str">
        <f>"94,3746"</f>
        <v>94,3746</v>
      </c>
      <c r="M34" s="43" t="s">
        <v>21</v>
      </c>
    </row>
    <row r="35" spans="1:13">
      <c r="A35" s="43" t="s">
        <v>447</v>
      </c>
      <c r="B35" s="43" t="s">
        <v>448</v>
      </c>
      <c r="C35" s="43" t="s">
        <v>449</v>
      </c>
      <c r="D35" s="43" t="str">
        <f>"0,6145"</f>
        <v>0,6145</v>
      </c>
      <c r="E35" s="43" t="s">
        <v>17</v>
      </c>
      <c r="F35" s="43" t="s">
        <v>307</v>
      </c>
      <c r="G35" s="44" t="s">
        <v>450</v>
      </c>
      <c r="H35" s="44" t="s">
        <v>445</v>
      </c>
      <c r="I35" s="45" t="s">
        <v>285</v>
      </c>
      <c r="J35" s="45"/>
      <c r="K35" s="47" t="str">
        <f>"152,5"</f>
        <v>152,5</v>
      </c>
      <c r="L35" s="48" t="str">
        <f>"93,7189"</f>
        <v>93,7189</v>
      </c>
      <c r="M35" s="43" t="s">
        <v>21</v>
      </c>
    </row>
    <row r="36" spans="1:13">
      <c r="A36" s="43" t="s">
        <v>451</v>
      </c>
      <c r="B36" s="43" t="s">
        <v>452</v>
      </c>
      <c r="C36" s="43" t="s">
        <v>453</v>
      </c>
      <c r="D36" s="43" t="str">
        <f>"0,6226"</f>
        <v>0,6226</v>
      </c>
      <c r="E36" s="43" t="s">
        <v>17</v>
      </c>
      <c r="F36" s="43" t="s">
        <v>18</v>
      </c>
      <c r="G36" s="45" t="s">
        <v>170</v>
      </c>
      <c r="H36" s="44" t="s">
        <v>280</v>
      </c>
      <c r="I36" s="44" t="s">
        <v>410</v>
      </c>
      <c r="J36" s="45"/>
      <c r="K36" s="47" t="str">
        <f>"132,5"</f>
        <v>132,5</v>
      </c>
      <c r="L36" s="48" t="str">
        <f>"82,4945"</f>
        <v>82,4945</v>
      </c>
      <c r="M36" s="43" t="s">
        <v>21</v>
      </c>
    </row>
    <row r="37" spans="1:13">
      <c r="A37" s="23" t="s">
        <v>454</v>
      </c>
      <c r="B37" s="23" t="s">
        <v>455</v>
      </c>
      <c r="C37" s="23" t="s">
        <v>456</v>
      </c>
      <c r="D37" s="23" t="str">
        <f>"0,6230"</f>
        <v>0,6230</v>
      </c>
      <c r="E37" s="23" t="s">
        <v>17</v>
      </c>
      <c r="F37" s="23" t="s">
        <v>18</v>
      </c>
      <c r="G37" s="46" t="s">
        <v>280</v>
      </c>
      <c r="H37" s="24" t="s">
        <v>410</v>
      </c>
      <c r="I37" s="46" t="s">
        <v>410</v>
      </c>
      <c r="J37" s="24"/>
      <c r="K37" s="41" t="str">
        <f>"132,5"</f>
        <v>132,5</v>
      </c>
      <c r="L37" s="42" t="str">
        <f>"84,1985"</f>
        <v>84,1985</v>
      </c>
      <c r="M37" s="23" t="s">
        <v>21</v>
      </c>
    </row>
    <row r="39" ht="14.25" spans="1:10">
      <c r="A39" s="18" t="s">
        <v>317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3">
      <c r="A40" s="20" t="s">
        <v>457</v>
      </c>
      <c r="B40" s="20" t="s">
        <v>458</v>
      </c>
      <c r="C40" s="20" t="s">
        <v>459</v>
      </c>
      <c r="D40" s="20" t="str">
        <f>"0,5856"</f>
        <v>0,5856</v>
      </c>
      <c r="E40" s="20" t="s">
        <v>17</v>
      </c>
      <c r="F40" s="20" t="s">
        <v>18</v>
      </c>
      <c r="G40" s="21" t="s">
        <v>291</v>
      </c>
      <c r="H40" s="21" t="s">
        <v>297</v>
      </c>
      <c r="I40" s="22" t="s">
        <v>298</v>
      </c>
      <c r="J40" s="21"/>
      <c r="K40" s="39" t="str">
        <f>"185,0"</f>
        <v>185,0</v>
      </c>
      <c r="L40" s="40" t="str">
        <f>"108,3360"</f>
        <v>108,3360</v>
      </c>
      <c r="M40" s="20" t="s">
        <v>21</v>
      </c>
    </row>
    <row r="41" spans="1:13">
      <c r="A41" s="43" t="s">
        <v>460</v>
      </c>
      <c r="B41" s="43" t="s">
        <v>461</v>
      </c>
      <c r="C41" s="43" t="s">
        <v>462</v>
      </c>
      <c r="D41" s="43" t="str">
        <f>"0,5846"</f>
        <v>0,5846</v>
      </c>
      <c r="E41" s="43" t="s">
        <v>17</v>
      </c>
      <c r="F41" s="43" t="s">
        <v>463</v>
      </c>
      <c r="G41" s="44" t="s">
        <v>171</v>
      </c>
      <c r="H41" s="44" t="s">
        <v>157</v>
      </c>
      <c r="I41" s="44" t="s">
        <v>450</v>
      </c>
      <c r="J41" s="45"/>
      <c r="K41" s="47" t="str">
        <f>"145,0"</f>
        <v>145,0</v>
      </c>
      <c r="L41" s="48" t="str">
        <f>"84,7598"</f>
        <v>84,7598</v>
      </c>
      <c r="M41" s="43" t="s">
        <v>21</v>
      </c>
    </row>
    <row r="42" spans="1:13">
      <c r="A42" s="43" t="s">
        <v>464</v>
      </c>
      <c r="B42" s="43" t="s">
        <v>465</v>
      </c>
      <c r="C42" s="43" t="s">
        <v>466</v>
      </c>
      <c r="D42" s="43" t="str">
        <f>"0,5885"</f>
        <v>0,5885</v>
      </c>
      <c r="E42" s="43" t="s">
        <v>17</v>
      </c>
      <c r="F42" s="43" t="s">
        <v>18</v>
      </c>
      <c r="G42" s="45" t="s">
        <v>280</v>
      </c>
      <c r="H42" s="44" t="s">
        <v>157</v>
      </c>
      <c r="I42" s="45" t="s">
        <v>450</v>
      </c>
      <c r="J42" s="45"/>
      <c r="K42" s="47" t="str">
        <f>"140,0"</f>
        <v>140,0</v>
      </c>
      <c r="L42" s="48" t="str">
        <f>"82,3970"</f>
        <v>82,3970</v>
      </c>
      <c r="M42" s="43" t="s">
        <v>21</v>
      </c>
    </row>
    <row r="43" spans="1:13">
      <c r="A43" s="43" t="s">
        <v>467</v>
      </c>
      <c r="B43" s="43" t="s">
        <v>468</v>
      </c>
      <c r="C43" s="43" t="s">
        <v>469</v>
      </c>
      <c r="D43" s="43" t="str">
        <f>"0,5914"</f>
        <v>0,5914</v>
      </c>
      <c r="E43" s="43" t="s">
        <v>17</v>
      </c>
      <c r="F43" s="43" t="s">
        <v>18</v>
      </c>
      <c r="G43" s="44" t="s">
        <v>158</v>
      </c>
      <c r="H43" s="45" t="s">
        <v>441</v>
      </c>
      <c r="I43" s="45" t="s">
        <v>441</v>
      </c>
      <c r="J43" s="45"/>
      <c r="K43" s="47" t="str">
        <f>"150,0"</f>
        <v>150,0</v>
      </c>
      <c r="L43" s="48" t="str">
        <f>"92,5245"</f>
        <v>92,5245</v>
      </c>
      <c r="M43" s="43" t="s">
        <v>21</v>
      </c>
    </row>
    <row r="44" spans="1:13">
      <c r="A44" s="23" t="s">
        <v>470</v>
      </c>
      <c r="B44" s="23" t="s">
        <v>471</v>
      </c>
      <c r="C44" s="23" t="s">
        <v>472</v>
      </c>
      <c r="D44" s="23" t="str">
        <f>"0,5813"</f>
        <v>0,5813</v>
      </c>
      <c r="E44" s="23" t="s">
        <v>17</v>
      </c>
      <c r="F44" s="23" t="s">
        <v>473</v>
      </c>
      <c r="G44" s="46" t="s">
        <v>157</v>
      </c>
      <c r="H44" s="46" t="s">
        <v>450</v>
      </c>
      <c r="I44" s="24" t="s">
        <v>444</v>
      </c>
      <c r="J44" s="24"/>
      <c r="K44" s="41" t="str">
        <f>"145,0"</f>
        <v>145,0</v>
      </c>
      <c r="L44" s="42" t="str">
        <f>"90,0201"</f>
        <v>90,0201</v>
      </c>
      <c r="M44" s="23" t="s">
        <v>21</v>
      </c>
    </row>
    <row r="46" ht="14.25" spans="1:10">
      <c r="A46" s="18" t="s">
        <v>233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3">
      <c r="A47" s="20" t="s">
        <v>474</v>
      </c>
      <c r="B47" s="20" t="s">
        <v>475</v>
      </c>
      <c r="C47" s="20" t="s">
        <v>476</v>
      </c>
      <c r="D47" s="20" t="str">
        <f>"0,5645"</f>
        <v>0,5645</v>
      </c>
      <c r="E47" s="20" t="s">
        <v>17</v>
      </c>
      <c r="F47" s="20" t="s">
        <v>477</v>
      </c>
      <c r="G47" s="22" t="s">
        <v>368</v>
      </c>
      <c r="H47" s="22" t="s">
        <v>299</v>
      </c>
      <c r="I47" s="22" t="s">
        <v>316</v>
      </c>
      <c r="J47" s="21"/>
      <c r="K47" s="39" t="str">
        <f>"200,0"</f>
        <v>200,0</v>
      </c>
      <c r="L47" s="40" t="str">
        <f>"112,9100"</f>
        <v>112,9100</v>
      </c>
      <c r="M47" s="20" t="s">
        <v>21</v>
      </c>
    </row>
    <row r="48" spans="1:13">
      <c r="A48" s="43" t="s">
        <v>478</v>
      </c>
      <c r="B48" s="43" t="s">
        <v>479</v>
      </c>
      <c r="C48" s="43" t="s">
        <v>480</v>
      </c>
      <c r="D48" s="43" t="str">
        <f>"0,5677"</f>
        <v>0,5677</v>
      </c>
      <c r="E48" s="43" t="s">
        <v>17</v>
      </c>
      <c r="F48" s="43" t="s">
        <v>18</v>
      </c>
      <c r="G48" s="44" t="s">
        <v>442</v>
      </c>
      <c r="H48" s="44" t="s">
        <v>287</v>
      </c>
      <c r="I48" s="45" t="s">
        <v>299</v>
      </c>
      <c r="J48" s="45"/>
      <c r="K48" s="47" t="str">
        <f>"180,0"</f>
        <v>180,0</v>
      </c>
      <c r="L48" s="48" t="str">
        <f>"102,1770"</f>
        <v>102,1770</v>
      </c>
      <c r="M48" s="43" t="s">
        <v>21</v>
      </c>
    </row>
    <row r="49" spans="1:13">
      <c r="A49" s="43" t="s">
        <v>481</v>
      </c>
      <c r="B49" s="43" t="s">
        <v>482</v>
      </c>
      <c r="C49" s="43" t="s">
        <v>236</v>
      </c>
      <c r="D49" s="43" t="str">
        <f>"0,5632"</f>
        <v>0,5632</v>
      </c>
      <c r="E49" s="43" t="s">
        <v>17</v>
      </c>
      <c r="F49" s="43" t="s">
        <v>18</v>
      </c>
      <c r="G49" s="44" t="s">
        <v>483</v>
      </c>
      <c r="H49" s="45" t="s">
        <v>484</v>
      </c>
      <c r="I49" s="45" t="s">
        <v>484</v>
      </c>
      <c r="J49" s="45"/>
      <c r="K49" s="47" t="str">
        <f>"157,5"</f>
        <v>157,5</v>
      </c>
      <c r="L49" s="48" t="str">
        <f>"88,7040"</f>
        <v>88,7040</v>
      </c>
      <c r="M49" s="43" t="s">
        <v>485</v>
      </c>
    </row>
    <row r="50" spans="1:13">
      <c r="A50" s="23" t="s">
        <v>486</v>
      </c>
      <c r="B50" s="23" t="s">
        <v>487</v>
      </c>
      <c r="C50" s="23" t="s">
        <v>488</v>
      </c>
      <c r="D50" s="23" t="str">
        <f>"0,5722"</f>
        <v>0,5722</v>
      </c>
      <c r="E50" s="23" t="s">
        <v>295</v>
      </c>
      <c r="F50" s="23" t="s">
        <v>18</v>
      </c>
      <c r="G50" s="46" t="s">
        <v>285</v>
      </c>
      <c r="H50" s="46" t="s">
        <v>441</v>
      </c>
      <c r="I50" s="24" t="s">
        <v>291</v>
      </c>
      <c r="J50" s="24"/>
      <c r="K50" s="41" t="str">
        <f>"162,5"</f>
        <v>162,5</v>
      </c>
      <c r="L50" s="42" t="str">
        <f>"106,6509"</f>
        <v>106,6509</v>
      </c>
      <c r="M50" s="23" t="s">
        <v>21</v>
      </c>
    </row>
    <row r="52" ht="14.25" spans="1:10">
      <c r="A52" s="18" t="s">
        <v>489</v>
      </c>
      <c r="B52" s="19"/>
      <c r="C52" s="19"/>
      <c r="D52" s="19"/>
      <c r="E52" s="19"/>
      <c r="F52" s="19"/>
      <c r="G52" s="19"/>
      <c r="H52" s="19"/>
      <c r="I52" s="19"/>
      <c r="J52" s="19"/>
    </row>
    <row r="53" spans="1:13">
      <c r="A53" s="16" t="s">
        <v>490</v>
      </c>
      <c r="B53" s="16" t="s">
        <v>491</v>
      </c>
      <c r="C53" s="16" t="s">
        <v>492</v>
      </c>
      <c r="D53" s="16" t="str">
        <f>"0,5332"</f>
        <v>0,5332</v>
      </c>
      <c r="E53" s="16" t="s">
        <v>17</v>
      </c>
      <c r="F53" s="16" t="s">
        <v>18</v>
      </c>
      <c r="G53" s="17" t="s">
        <v>493</v>
      </c>
      <c r="H53" s="17" t="s">
        <v>494</v>
      </c>
      <c r="I53" s="17" t="s">
        <v>298</v>
      </c>
      <c r="J53" s="32"/>
      <c r="K53" s="37" t="str">
        <f>"185,0"</f>
        <v>185,0</v>
      </c>
      <c r="L53" s="38" t="str">
        <f>"98,6494"</f>
        <v>98,6494</v>
      </c>
      <c r="M53" s="16" t="s">
        <v>21</v>
      </c>
    </row>
    <row r="55" ht="14.25" spans="5:5">
      <c r="E55" s="25" t="s">
        <v>49</v>
      </c>
    </row>
    <row r="56" ht="14.25" spans="5:5">
      <c r="E56" s="25" t="s">
        <v>50</v>
      </c>
    </row>
    <row r="57" ht="14.25" spans="5:5">
      <c r="E57" s="25" t="s">
        <v>51</v>
      </c>
    </row>
    <row r="58" ht="14.25" spans="5:5">
      <c r="E58" s="25" t="s">
        <v>52</v>
      </c>
    </row>
    <row r="59" ht="14.25" spans="5:5">
      <c r="E59" s="25" t="s">
        <v>52</v>
      </c>
    </row>
    <row r="60" ht="14.25" spans="5:5">
      <c r="E60" s="25" t="s">
        <v>53</v>
      </c>
    </row>
    <row r="61" ht="14.25" spans="5:5">
      <c r="E61" s="25"/>
    </row>
    <row r="63" ht="18.75" spans="1:2">
      <c r="A63" s="26" t="s">
        <v>54</v>
      </c>
      <c r="B63" s="26"/>
    </row>
    <row r="64" ht="14.25" spans="1:2">
      <c r="A64" s="27" t="s">
        <v>174</v>
      </c>
      <c r="B64" s="27"/>
    </row>
    <row r="65" ht="13.5" spans="1:2">
      <c r="A65" s="28"/>
      <c r="B65" s="29" t="s">
        <v>67</v>
      </c>
    </row>
    <row r="66" ht="13.5" spans="1:5">
      <c r="A66" s="30" t="s">
        <v>57</v>
      </c>
      <c r="B66" s="30" t="s">
        <v>58</v>
      </c>
      <c r="C66" s="30" t="s">
        <v>59</v>
      </c>
      <c r="D66" s="30" t="s">
        <v>60</v>
      </c>
      <c r="E66" s="30" t="s">
        <v>61</v>
      </c>
    </row>
    <row r="67" spans="1:5">
      <c r="A67" s="31" t="s">
        <v>495</v>
      </c>
      <c r="B67" s="3" t="s">
        <v>67</v>
      </c>
      <c r="C67" s="3" t="s">
        <v>64</v>
      </c>
      <c r="D67" s="3" t="s">
        <v>31</v>
      </c>
      <c r="E67" s="5" t="s">
        <v>496</v>
      </c>
    </row>
    <row r="68" spans="1:5">
      <c r="A68" s="31" t="s">
        <v>497</v>
      </c>
      <c r="B68" s="3" t="s">
        <v>67</v>
      </c>
      <c r="C68" s="3" t="s">
        <v>329</v>
      </c>
      <c r="D68" s="3" t="s">
        <v>200</v>
      </c>
      <c r="E68" s="5" t="s">
        <v>498</v>
      </c>
    </row>
    <row r="71" ht="14.25" spans="1:2">
      <c r="A71" s="27" t="s">
        <v>55</v>
      </c>
      <c r="B71" s="27"/>
    </row>
    <row r="72" ht="13.5" spans="1:2">
      <c r="A72" s="28"/>
      <c r="B72" s="29" t="s">
        <v>238</v>
      </c>
    </row>
    <row r="73" ht="13.5" spans="1:5">
      <c r="A73" s="30" t="s">
        <v>57</v>
      </c>
      <c r="B73" s="30" t="s">
        <v>58</v>
      </c>
      <c r="C73" s="30" t="s">
        <v>59</v>
      </c>
      <c r="D73" s="30" t="s">
        <v>60</v>
      </c>
      <c r="E73" s="30" t="s">
        <v>61</v>
      </c>
    </row>
    <row r="74" spans="1:5">
      <c r="A74" s="31" t="s">
        <v>499</v>
      </c>
      <c r="B74" s="3" t="s">
        <v>392</v>
      </c>
      <c r="C74" s="3" t="s">
        <v>77</v>
      </c>
      <c r="D74" s="3" t="s">
        <v>274</v>
      </c>
      <c r="E74" s="5" t="s">
        <v>500</v>
      </c>
    </row>
    <row r="76" ht="13.5" spans="1:2">
      <c r="A76" s="28"/>
      <c r="B76" s="29" t="s">
        <v>56</v>
      </c>
    </row>
    <row r="77" ht="13.5" spans="1:5">
      <c r="A77" s="30" t="s">
        <v>57</v>
      </c>
      <c r="B77" s="30" t="s">
        <v>58</v>
      </c>
      <c r="C77" s="30" t="s">
        <v>59</v>
      </c>
      <c r="D77" s="30" t="s">
        <v>60</v>
      </c>
      <c r="E77" s="30" t="s">
        <v>61</v>
      </c>
    </row>
    <row r="78" spans="1:5">
      <c r="A78" s="31" t="s">
        <v>62</v>
      </c>
      <c r="B78" s="3" t="s">
        <v>63</v>
      </c>
      <c r="C78" s="3" t="s">
        <v>64</v>
      </c>
      <c r="D78" s="3" t="s">
        <v>408</v>
      </c>
      <c r="E78" s="5" t="s">
        <v>501</v>
      </c>
    </row>
    <row r="80" ht="13.5" spans="1:2">
      <c r="A80" s="28"/>
      <c r="B80" s="29" t="s">
        <v>67</v>
      </c>
    </row>
    <row r="81" ht="13.5" spans="1:5">
      <c r="A81" s="30" t="s">
        <v>57</v>
      </c>
      <c r="B81" s="30" t="s">
        <v>58</v>
      </c>
      <c r="C81" s="30" t="s">
        <v>59</v>
      </c>
      <c r="D81" s="30" t="s">
        <v>60</v>
      </c>
      <c r="E81" s="30" t="s">
        <v>61</v>
      </c>
    </row>
    <row r="82" spans="1:5">
      <c r="A82" s="31" t="s">
        <v>502</v>
      </c>
      <c r="B82" s="3" t="s">
        <v>67</v>
      </c>
      <c r="C82" s="3" t="s">
        <v>243</v>
      </c>
      <c r="D82" s="3" t="s">
        <v>316</v>
      </c>
      <c r="E82" s="5" t="s">
        <v>503</v>
      </c>
    </row>
    <row r="83" spans="1:5">
      <c r="A83" s="31" t="s">
        <v>504</v>
      </c>
      <c r="B83" s="3" t="s">
        <v>67</v>
      </c>
      <c r="C83" s="3" t="s">
        <v>342</v>
      </c>
      <c r="D83" s="3" t="s">
        <v>298</v>
      </c>
      <c r="E83" s="5" t="s">
        <v>505</v>
      </c>
    </row>
    <row r="84" spans="1:5">
      <c r="A84" s="31" t="s">
        <v>506</v>
      </c>
      <c r="B84" s="3" t="s">
        <v>67</v>
      </c>
      <c r="C84" s="3" t="s">
        <v>73</v>
      </c>
      <c r="D84" s="3" t="s">
        <v>442</v>
      </c>
      <c r="E84" s="5" t="s">
        <v>507</v>
      </c>
    </row>
    <row r="85" spans="1:5">
      <c r="A85" s="31" t="s">
        <v>508</v>
      </c>
      <c r="B85" s="3" t="s">
        <v>67</v>
      </c>
      <c r="C85" s="3" t="s">
        <v>243</v>
      </c>
      <c r="D85" s="3" t="s">
        <v>287</v>
      </c>
      <c r="E85" s="5" t="s">
        <v>509</v>
      </c>
    </row>
    <row r="86" spans="1:5">
      <c r="A86" s="31" t="s">
        <v>510</v>
      </c>
      <c r="B86" s="3" t="s">
        <v>67</v>
      </c>
      <c r="C86" s="3" t="s">
        <v>511</v>
      </c>
      <c r="D86" s="3" t="s">
        <v>298</v>
      </c>
      <c r="E86" s="5" t="s">
        <v>512</v>
      </c>
    </row>
    <row r="87" spans="1:5">
      <c r="A87" s="31" t="s">
        <v>72</v>
      </c>
      <c r="B87" s="3" t="s">
        <v>67</v>
      </c>
      <c r="C87" s="3" t="s">
        <v>73</v>
      </c>
      <c r="D87" s="3" t="s">
        <v>445</v>
      </c>
      <c r="E87" s="5" t="s">
        <v>513</v>
      </c>
    </row>
    <row r="88" spans="1:5">
      <c r="A88" s="31" t="s">
        <v>514</v>
      </c>
      <c r="B88" s="3" t="s">
        <v>67</v>
      </c>
      <c r="C88" s="3" t="s">
        <v>73</v>
      </c>
      <c r="D88" s="3" t="s">
        <v>445</v>
      </c>
      <c r="E88" s="5" t="s">
        <v>515</v>
      </c>
    </row>
    <row r="89" spans="1:5">
      <c r="A89" s="31" t="s">
        <v>68</v>
      </c>
      <c r="B89" s="3" t="s">
        <v>67</v>
      </c>
      <c r="C89" s="3" t="s">
        <v>69</v>
      </c>
      <c r="D89" s="3" t="s">
        <v>410</v>
      </c>
      <c r="E89" s="5" t="s">
        <v>516</v>
      </c>
    </row>
    <row r="90" spans="1:5">
      <c r="A90" s="31" t="s">
        <v>517</v>
      </c>
      <c r="B90" s="3" t="s">
        <v>67</v>
      </c>
      <c r="C90" s="3" t="s">
        <v>77</v>
      </c>
      <c r="D90" s="3" t="s">
        <v>157</v>
      </c>
      <c r="E90" s="5" t="s">
        <v>518</v>
      </c>
    </row>
    <row r="91" spans="1:5">
      <c r="A91" s="31" t="s">
        <v>519</v>
      </c>
      <c r="B91" s="3" t="s">
        <v>67</v>
      </c>
      <c r="C91" s="3" t="s">
        <v>243</v>
      </c>
      <c r="D91" s="3" t="s">
        <v>483</v>
      </c>
      <c r="E91" s="5" t="s">
        <v>520</v>
      </c>
    </row>
    <row r="92" spans="1:5">
      <c r="A92" s="31" t="s">
        <v>521</v>
      </c>
      <c r="B92" s="3" t="s">
        <v>67</v>
      </c>
      <c r="C92" s="3" t="s">
        <v>69</v>
      </c>
      <c r="D92" s="3" t="s">
        <v>170</v>
      </c>
      <c r="E92" s="5" t="s">
        <v>522</v>
      </c>
    </row>
    <row r="93" spans="1:5">
      <c r="A93" s="31" t="s">
        <v>523</v>
      </c>
      <c r="B93" s="3" t="s">
        <v>67</v>
      </c>
      <c r="C93" s="3" t="s">
        <v>342</v>
      </c>
      <c r="D93" s="3" t="s">
        <v>450</v>
      </c>
      <c r="E93" s="5" t="s">
        <v>524</v>
      </c>
    </row>
    <row r="94" spans="1:5">
      <c r="A94" s="31" t="s">
        <v>525</v>
      </c>
      <c r="B94" s="3" t="s">
        <v>67</v>
      </c>
      <c r="C94" s="3" t="s">
        <v>77</v>
      </c>
      <c r="D94" s="3" t="s">
        <v>409</v>
      </c>
      <c r="E94" s="5" t="s">
        <v>526</v>
      </c>
    </row>
    <row r="95" spans="1:5">
      <c r="A95" s="31" t="s">
        <v>527</v>
      </c>
      <c r="B95" s="3" t="s">
        <v>67</v>
      </c>
      <c r="C95" s="3" t="s">
        <v>73</v>
      </c>
      <c r="D95" s="3" t="s">
        <v>410</v>
      </c>
      <c r="E95" s="5" t="s">
        <v>528</v>
      </c>
    </row>
    <row r="96" spans="1:5">
      <c r="A96" s="31" t="s">
        <v>529</v>
      </c>
      <c r="B96" s="3" t="s">
        <v>67</v>
      </c>
      <c r="C96" s="3" t="s">
        <v>342</v>
      </c>
      <c r="D96" s="3" t="s">
        <v>157</v>
      </c>
      <c r="E96" s="5" t="s">
        <v>530</v>
      </c>
    </row>
    <row r="97" spans="1:5">
      <c r="A97" s="31" t="s">
        <v>531</v>
      </c>
      <c r="B97" s="3" t="s">
        <v>67</v>
      </c>
      <c r="C97" s="3" t="s">
        <v>69</v>
      </c>
      <c r="D97" s="3" t="s">
        <v>166</v>
      </c>
      <c r="E97" s="5" t="s">
        <v>532</v>
      </c>
    </row>
    <row r="98" spans="1:5">
      <c r="A98" s="31" t="s">
        <v>533</v>
      </c>
      <c r="B98" s="3" t="s">
        <v>67</v>
      </c>
      <c r="C98" s="3" t="s">
        <v>69</v>
      </c>
      <c r="D98" s="3" t="s">
        <v>418</v>
      </c>
      <c r="E98" s="5" t="s">
        <v>534</v>
      </c>
    </row>
    <row r="99" spans="1:5">
      <c r="A99" s="31" t="s">
        <v>250</v>
      </c>
      <c r="B99" s="3" t="s">
        <v>67</v>
      </c>
      <c r="C99" s="3" t="s">
        <v>77</v>
      </c>
      <c r="D99" s="3" t="s">
        <v>418</v>
      </c>
      <c r="E99" s="5" t="s">
        <v>535</v>
      </c>
    </row>
    <row r="101" ht="13.5" spans="1:2">
      <c r="A101" s="28"/>
      <c r="B101" s="29" t="s">
        <v>80</v>
      </c>
    </row>
    <row r="102" ht="13.5" spans="1:5">
      <c r="A102" s="30" t="s">
        <v>57</v>
      </c>
      <c r="B102" s="30" t="s">
        <v>58</v>
      </c>
      <c r="C102" s="30" t="s">
        <v>59</v>
      </c>
      <c r="D102" s="30" t="s">
        <v>60</v>
      </c>
      <c r="E102" s="30" t="s">
        <v>61</v>
      </c>
    </row>
    <row r="103" spans="1:5">
      <c r="A103" s="31" t="s">
        <v>536</v>
      </c>
      <c r="B103" s="3" t="s">
        <v>384</v>
      </c>
      <c r="C103" s="3" t="s">
        <v>243</v>
      </c>
      <c r="D103" s="3" t="s">
        <v>441</v>
      </c>
      <c r="E103" s="5" t="s">
        <v>537</v>
      </c>
    </row>
    <row r="104" spans="1:5">
      <c r="A104" s="31" t="s">
        <v>81</v>
      </c>
      <c r="B104" s="3" t="s">
        <v>260</v>
      </c>
      <c r="C104" s="3" t="s">
        <v>69</v>
      </c>
      <c r="D104" s="3" t="s">
        <v>171</v>
      </c>
      <c r="E104" s="5" t="s">
        <v>538</v>
      </c>
    </row>
    <row r="105" spans="1:5">
      <c r="A105" s="31" t="s">
        <v>539</v>
      </c>
      <c r="B105" s="3" t="s">
        <v>258</v>
      </c>
      <c r="C105" s="3" t="s">
        <v>342</v>
      </c>
      <c r="D105" s="3" t="s">
        <v>158</v>
      </c>
      <c r="E105" s="5" t="s">
        <v>540</v>
      </c>
    </row>
    <row r="106" spans="1:5">
      <c r="A106" s="31" t="s">
        <v>541</v>
      </c>
      <c r="B106" s="3" t="s">
        <v>260</v>
      </c>
      <c r="C106" s="3" t="s">
        <v>342</v>
      </c>
      <c r="D106" s="3" t="s">
        <v>450</v>
      </c>
      <c r="E106" s="5" t="s">
        <v>542</v>
      </c>
    </row>
    <row r="107" spans="1:5">
      <c r="A107" s="31" t="s">
        <v>543</v>
      </c>
      <c r="B107" s="3" t="s">
        <v>258</v>
      </c>
      <c r="C107" s="3" t="s">
        <v>73</v>
      </c>
      <c r="D107" s="3" t="s">
        <v>410</v>
      </c>
      <c r="E107" s="5" t="s">
        <v>544</v>
      </c>
    </row>
    <row r="108" spans="1:5">
      <c r="A108" s="31" t="s">
        <v>85</v>
      </c>
      <c r="B108" s="3" t="s">
        <v>384</v>
      </c>
      <c r="C108" s="3" t="s">
        <v>77</v>
      </c>
      <c r="D108" s="3" t="s">
        <v>418</v>
      </c>
      <c r="E108" s="5" t="s">
        <v>545</v>
      </c>
    </row>
  </sheetData>
  <mergeCells count="21">
    <mergeCell ref="G3:J3"/>
    <mergeCell ref="A5:J5"/>
    <mergeCell ref="A8:J8"/>
    <mergeCell ref="A11:J11"/>
    <mergeCell ref="A14:J14"/>
    <mergeCell ref="A17:J17"/>
    <mergeCell ref="A24:J24"/>
    <mergeCell ref="A32:J32"/>
    <mergeCell ref="A39:J39"/>
    <mergeCell ref="A46:J46"/>
    <mergeCell ref="A52:J5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8.4380952380952" style="3" customWidth="1"/>
    <col min="3" max="3" width="14.8857142857143" style="3" customWidth="1"/>
    <col min="4" max="4" width="8.21904761904762" style="3" customWidth="1"/>
    <col min="5" max="5" width="21.7809523809524" style="3" customWidth="1"/>
    <col min="6" max="6" width="26" style="3" customWidth="1"/>
    <col min="7" max="9" width="5.55238095238095" style="4" customWidth="1"/>
    <col min="10" max="10" width="4.55238095238095" style="4" customWidth="1"/>
    <col min="11" max="13" width="5.55238095238095" style="4" customWidth="1"/>
    <col min="14" max="14" width="4.55238095238095" style="4" customWidth="1"/>
    <col min="15" max="17" width="5.55238095238095" style="4" customWidth="1"/>
    <col min="18" max="18" width="4.55238095238095" style="4" customWidth="1"/>
    <col min="19" max="19" width="7.66666666666667" style="5" customWidth="1"/>
    <col min="20" max="20" width="8.55238095238095" style="1" customWidth="1"/>
    <col min="21" max="21" width="8.33333333333333" style="3" customWidth="1"/>
    <col min="22" max="16384" width="9.1047619047619" style="4"/>
  </cols>
  <sheetData>
    <row r="1" s="1" customFormat="1" ht="28.95" customHeight="1" spans="1:21">
      <c r="A1" s="6" t="s">
        <v>546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33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4"/>
    </row>
    <row r="3" s="2" customFormat="1" ht="12.75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547</v>
      </c>
      <c r="H3" s="12"/>
      <c r="I3" s="12"/>
      <c r="J3" s="12"/>
      <c r="K3" s="12" t="s">
        <v>362</v>
      </c>
      <c r="L3" s="12"/>
      <c r="M3" s="12"/>
      <c r="N3" s="12"/>
      <c r="O3" s="12" t="s">
        <v>265</v>
      </c>
      <c r="P3" s="12"/>
      <c r="Q3" s="12"/>
      <c r="R3" s="12"/>
      <c r="S3" s="12" t="s">
        <v>548</v>
      </c>
      <c r="T3" s="12" t="s">
        <v>9</v>
      </c>
      <c r="U3" s="35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>
        <v>1</v>
      </c>
      <c r="L4" s="14">
        <v>2</v>
      </c>
      <c r="M4" s="14">
        <v>3</v>
      </c>
      <c r="N4" s="14" t="s">
        <v>194</v>
      </c>
      <c r="O4" s="14">
        <v>1</v>
      </c>
      <c r="P4" s="14">
        <v>2</v>
      </c>
      <c r="Q4" s="14">
        <v>3</v>
      </c>
      <c r="R4" s="14" t="s">
        <v>194</v>
      </c>
      <c r="S4" s="14"/>
      <c r="T4" s="14"/>
      <c r="U4" s="36"/>
    </row>
    <row r="5" ht="14.25" spans="1:18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1">
      <c r="A6" s="16" t="s">
        <v>549</v>
      </c>
      <c r="B6" s="16" t="s">
        <v>550</v>
      </c>
      <c r="C6" s="16" t="s">
        <v>551</v>
      </c>
      <c r="D6" s="16" t="str">
        <f>"0,7581"</f>
        <v>0,7581</v>
      </c>
      <c r="E6" s="16" t="s">
        <v>17</v>
      </c>
      <c r="F6" s="16" t="s">
        <v>18</v>
      </c>
      <c r="G6" s="17" t="s">
        <v>442</v>
      </c>
      <c r="H6" s="17" t="s">
        <v>297</v>
      </c>
      <c r="I6" s="17" t="s">
        <v>287</v>
      </c>
      <c r="J6" s="32"/>
      <c r="K6" s="17" t="s">
        <v>410</v>
      </c>
      <c r="L6" s="17" t="s">
        <v>157</v>
      </c>
      <c r="M6" s="32" t="s">
        <v>450</v>
      </c>
      <c r="N6" s="32"/>
      <c r="O6" s="17" t="s">
        <v>552</v>
      </c>
      <c r="P6" s="17" t="s">
        <v>378</v>
      </c>
      <c r="Q6" s="32" t="s">
        <v>553</v>
      </c>
      <c r="R6" s="32"/>
      <c r="S6" s="37" t="str">
        <f>"532,5"</f>
        <v>532,5</v>
      </c>
      <c r="T6" s="38" t="str">
        <f>"403,6616"</f>
        <v>403,6616</v>
      </c>
      <c r="U6" s="16" t="s">
        <v>21</v>
      </c>
    </row>
    <row r="8" ht="14.25" spans="1:18">
      <c r="A8" s="18" t="s">
        <v>33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21">
      <c r="A9" s="16" t="s">
        <v>554</v>
      </c>
      <c r="B9" s="16" t="s">
        <v>555</v>
      </c>
      <c r="C9" s="16" t="s">
        <v>556</v>
      </c>
      <c r="D9" s="16" t="str">
        <f>"0,6629"</f>
        <v>0,6629</v>
      </c>
      <c r="E9" s="16" t="s">
        <v>17</v>
      </c>
      <c r="F9" s="16" t="s">
        <v>557</v>
      </c>
      <c r="G9" s="17" t="s">
        <v>450</v>
      </c>
      <c r="H9" s="32" t="s">
        <v>446</v>
      </c>
      <c r="I9" s="32" t="s">
        <v>446</v>
      </c>
      <c r="J9" s="32"/>
      <c r="K9" s="17" t="s">
        <v>409</v>
      </c>
      <c r="L9" s="17" t="s">
        <v>156</v>
      </c>
      <c r="M9" s="17" t="s">
        <v>171</v>
      </c>
      <c r="N9" s="32"/>
      <c r="O9" s="17" t="s">
        <v>297</v>
      </c>
      <c r="P9" s="17" t="s">
        <v>298</v>
      </c>
      <c r="Q9" s="32" t="s">
        <v>299</v>
      </c>
      <c r="R9" s="32"/>
      <c r="S9" s="37" t="str">
        <f>"465,0"</f>
        <v>465,0</v>
      </c>
      <c r="T9" s="38" t="str">
        <f>"308,2485"</f>
        <v>308,2485</v>
      </c>
      <c r="U9" s="16" t="s">
        <v>21</v>
      </c>
    </row>
    <row r="11" ht="14.25" spans="1:18">
      <c r="A11" s="18" t="s">
        <v>317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1">
      <c r="A12" s="16" t="s">
        <v>558</v>
      </c>
      <c r="B12" s="16" t="s">
        <v>559</v>
      </c>
      <c r="C12" s="16" t="s">
        <v>560</v>
      </c>
      <c r="D12" s="16" t="str">
        <f>"0,6010"</f>
        <v>0,6010</v>
      </c>
      <c r="E12" s="16" t="s">
        <v>17</v>
      </c>
      <c r="F12" s="16" t="s">
        <v>18</v>
      </c>
      <c r="G12" s="32" t="s">
        <v>171</v>
      </c>
      <c r="H12" s="32" t="s">
        <v>171</v>
      </c>
      <c r="I12" s="32" t="s">
        <v>157</v>
      </c>
      <c r="J12" s="32"/>
      <c r="K12" s="32" t="s">
        <v>166</v>
      </c>
      <c r="L12" s="32"/>
      <c r="M12" s="32"/>
      <c r="N12" s="32"/>
      <c r="O12" s="32" t="s">
        <v>450</v>
      </c>
      <c r="P12" s="32"/>
      <c r="Q12" s="32"/>
      <c r="R12" s="32"/>
      <c r="S12" s="37" t="str">
        <f>"0.00"</f>
        <v>0.00</v>
      </c>
      <c r="T12" s="38" t="str">
        <f>"0,0000"</f>
        <v>0,0000</v>
      </c>
      <c r="U12" s="16" t="s">
        <v>21</v>
      </c>
    </row>
    <row r="14" ht="14.25" spans="5:5">
      <c r="E14" s="25" t="s">
        <v>49</v>
      </c>
    </row>
    <row r="15" ht="14.25" spans="5:5">
      <c r="E15" s="25" t="s">
        <v>50</v>
      </c>
    </row>
    <row r="16" ht="14.25" spans="5:5">
      <c r="E16" s="25" t="s">
        <v>51</v>
      </c>
    </row>
    <row r="17" ht="14.25" spans="5:5">
      <c r="E17" s="25" t="s">
        <v>52</v>
      </c>
    </row>
    <row r="18" ht="14.25" spans="5:5">
      <c r="E18" s="25" t="s">
        <v>52</v>
      </c>
    </row>
    <row r="19" ht="14.25" spans="5:5">
      <c r="E19" s="25" t="s">
        <v>53</v>
      </c>
    </row>
    <row r="20" ht="14.25" spans="5:5">
      <c r="E20" s="25"/>
    </row>
    <row r="22" ht="18.75" spans="1:2">
      <c r="A22" s="26" t="s">
        <v>54</v>
      </c>
      <c r="B22" s="26"/>
    </row>
    <row r="23" ht="14.25" spans="1:2">
      <c r="A23" s="27" t="s">
        <v>55</v>
      </c>
      <c r="B23" s="27"/>
    </row>
    <row r="24" ht="13.5" spans="1:2">
      <c r="A24" s="28"/>
      <c r="B24" s="29" t="s">
        <v>67</v>
      </c>
    </row>
    <row r="25" ht="13.5" spans="1:5">
      <c r="A25" s="30" t="s">
        <v>57</v>
      </c>
      <c r="B25" s="30" t="s">
        <v>58</v>
      </c>
      <c r="C25" s="30" t="s">
        <v>59</v>
      </c>
      <c r="D25" s="30" t="s">
        <v>561</v>
      </c>
      <c r="E25" s="30" t="s">
        <v>61</v>
      </c>
    </row>
    <row r="26" spans="1:5">
      <c r="A26" s="31" t="s">
        <v>562</v>
      </c>
      <c r="B26" s="3" t="s">
        <v>67</v>
      </c>
      <c r="C26" s="3" t="s">
        <v>64</v>
      </c>
      <c r="D26" s="3" t="s">
        <v>563</v>
      </c>
      <c r="E26" s="5" t="s">
        <v>564</v>
      </c>
    </row>
    <row r="27" spans="1:5">
      <c r="A27" s="31" t="s">
        <v>565</v>
      </c>
      <c r="B27" s="3" t="s">
        <v>67</v>
      </c>
      <c r="C27" s="3" t="s">
        <v>77</v>
      </c>
      <c r="D27" s="3" t="s">
        <v>566</v>
      </c>
      <c r="E27" s="5" t="s">
        <v>567</v>
      </c>
    </row>
  </sheetData>
  <mergeCells count="16">
    <mergeCell ref="G3:J3"/>
    <mergeCell ref="K3:N3"/>
    <mergeCell ref="O3:R3"/>
    <mergeCell ref="A5:R5"/>
    <mergeCell ref="A8:R8"/>
    <mergeCell ref="A11:R11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4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5.2190476190476" style="3" customWidth="1"/>
    <col min="3" max="3" width="14.8857142857143" style="3" customWidth="1"/>
    <col min="4" max="4" width="8.21904761904762" style="3" customWidth="1"/>
    <col min="5" max="5" width="21.7809523809524" style="3" customWidth="1"/>
    <col min="6" max="6" width="32.7809523809524" style="3" customWidth="1"/>
    <col min="7" max="9" width="5.55238095238095" style="4" customWidth="1"/>
    <col min="10" max="10" width="4.55238095238095" style="4" customWidth="1"/>
    <col min="11" max="13" width="5.55238095238095" style="4" customWidth="1"/>
    <col min="14" max="14" width="4.55238095238095" style="4" customWidth="1"/>
    <col min="15" max="17" width="5.55238095238095" style="4" customWidth="1"/>
    <col min="18" max="18" width="4.55238095238095" style="4" customWidth="1"/>
    <col min="19" max="19" width="7.66666666666667" style="5" customWidth="1"/>
    <col min="20" max="20" width="8.55238095238095" style="1" customWidth="1"/>
    <col min="21" max="21" width="8.33333333333333" style="3" customWidth="1"/>
    <col min="22" max="16384" width="9.1047619047619" style="4"/>
  </cols>
  <sheetData>
    <row r="1" s="1" customFormat="1" ht="28.95" customHeight="1" spans="1:21">
      <c r="A1" s="6" t="s">
        <v>568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33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4"/>
    </row>
    <row r="3" s="2" customFormat="1" ht="12.75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547</v>
      </c>
      <c r="H3" s="12"/>
      <c r="I3" s="12"/>
      <c r="J3" s="12"/>
      <c r="K3" s="12" t="s">
        <v>362</v>
      </c>
      <c r="L3" s="12"/>
      <c r="M3" s="12"/>
      <c r="N3" s="12"/>
      <c r="O3" s="12" t="s">
        <v>265</v>
      </c>
      <c r="P3" s="12"/>
      <c r="Q3" s="12"/>
      <c r="R3" s="12"/>
      <c r="S3" s="12" t="s">
        <v>548</v>
      </c>
      <c r="T3" s="12" t="s">
        <v>9</v>
      </c>
      <c r="U3" s="35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>
        <v>1</v>
      </c>
      <c r="L4" s="14">
        <v>2</v>
      </c>
      <c r="M4" s="14">
        <v>3</v>
      </c>
      <c r="N4" s="14" t="s">
        <v>194</v>
      </c>
      <c r="O4" s="14">
        <v>1</v>
      </c>
      <c r="P4" s="14">
        <v>2</v>
      </c>
      <c r="Q4" s="14">
        <v>3</v>
      </c>
      <c r="R4" s="14" t="s">
        <v>194</v>
      </c>
      <c r="S4" s="14"/>
      <c r="T4" s="14"/>
      <c r="U4" s="36"/>
    </row>
    <row r="5" ht="14.25" spans="1:18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1">
      <c r="A6" s="20" t="s">
        <v>288</v>
      </c>
      <c r="B6" s="20" t="s">
        <v>289</v>
      </c>
      <c r="C6" s="20" t="s">
        <v>290</v>
      </c>
      <c r="D6" s="20" t="str">
        <f>"0,7610"</f>
        <v>0,7610</v>
      </c>
      <c r="E6" s="20" t="s">
        <v>17</v>
      </c>
      <c r="F6" s="20" t="s">
        <v>18</v>
      </c>
      <c r="G6" s="22" t="s">
        <v>170</v>
      </c>
      <c r="H6" s="21" t="s">
        <v>171</v>
      </c>
      <c r="I6" s="22" t="s">
        <v>569</v>
      </c>
      <c r="J6" s="21"/>
      <c r="K6" s="22" t="s">
        <v>37</v>
      </c>
      <c r="L6" s="22" t="s">
        <v>406</v>
      </c>
      <c r="M6" s="21" t="s">
        <v>570</v>
      </c>
      <c r="N6" s="21"/>
      <c r="O6" s="22" t="s">
        <v>158</v>
      </c>
      <c r="P6" s="22" t="s">
        <v>291</v>
      </c>
      <c r="Q6" s="22" t="s">
        <v>286</v>
      </c>
      <c r="R6" s="21"/>
      <c r="S6" s="39" t="str">
        <f>"402,5"</f>
        <v>402,5</v>
      </c>
      <c r="T6" s="40" t="str">
        <f>"306,2824"</f>
        <v>306,2824</v>
      </c>
      <c r="U6" s="20" t="s">
        <v>21</v>
      </c>
    </row>
    <row r="7" spans="1:21">
      <c r="A7" s="23" t="s">
        <v>571</v>
      </c>
      <c r="B7" s="23" t="s">
        <v>572</v>
      </c>
      <c r="C7" s="23" t="s">
        <v>573</v>
      </c>
      <c r="D7" s="23" t="str">
        <f>"0,7522"</f>
        <v>0,7522</v>
      </c>
      <c r="E7" s="23" t="s">
        <v>17</v>
      </c>
      <c r="F7" s="23" t="s">
        <v>18</v>
      </c>
      <c r="G7" s="24" t="s">
        <v>170</v>
      </c>
      <c r="H7" s="46" t="s">
        <v>170</v>
      </c>
      <c r="I7" s="46" t="s">
        <v>409</v>
      </c>
      <c r="J7" s="24"/>
      <c r="K7" s="46" t="s">
        <v>406</v>
      </c>
      <c r="L7" s="24" t="s">
        <v>165</v>
      </c>
      <c r="M7" s="24" t="s">
        <v>165</v>
      </c>
      <c r="N7" s="24"/>
      <c r="O7" s="46" t="s">
        <v>157</v>
      </c>
      <c r="P7" s="46" t="s">
        <v>446</v>
      </c>
      <c r="Q7" s="24" t="s">
        <v>291</v>
      </c>
      <c r="R7" s="24"/>
      <c r="S7" s="41" t="str">
        <f>"370,0"</f>
        <v>370,0</v>
      </c>
      <c r="T7" s="42" t="str">
        <f>"278,3140"</f>
        <v>278,3140</v>
      </c>
      <c r="U7" s="23" t="s">
        <v>21</v>
      </c>
    </row>
    <row r="9" ht="14.25" spans="1:18">
      <c r="A9" s="18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1">
      <c r="A10" s="20" t="s">
        <v>574</v>
      </c>
      <c r="B10" s="20" t="s">
        <v>575</v>
      </c>
      <c r="C10" s="20" t="s">
        <v>576</v>
      </c>
      <c r="D10" s="20" t="str">
        <f>"0,6920"</f>
        <v>0,6920</v>
      </c>
      <c r="E10" s="20" t="s">
        <v>17</v>
      </c>
      <c r="F10" s="20" t="s">
        <v>18</v>
      </c>
      <c r="G10" s="21" t="s">
        <v>409</v>
      </c>
      <c r="H10" s="22" t="s">
        <v>409</v>
      </c>
      <c r="I10" s="22" t="s">
        <v>577</v>
      </c>
      <c r="J10" s="21"/>
      <c r="K10" s="21" t="s">
        <v>408</v>
      </c>
      <c r="L10" s="22" t="s">
        <v>408</v>
      </c>
      <c r="M10" s="21" t="s">
        <v>274</v>
      </c>
      <c r="N10" s="21"/>
      <c r="O10" s="22" t="s">
        <v>158</v>
      </c>
      <c r="P10" s="22" t="s">
        <v>484</v>
      </c>
      <c r="Q10" s="21" t="s">
        <v>287</v>
      </c>
      <c r="R10" s="21"/>
      <c r="S10" s="39" t="str">
        <f>"412,5"</f>
        <v>412,5</v>
      </c>
      <c r="T10" s="40" t="str">
        <f>"285,4294"</f>
        <v>285,4294</v>
      </c>
      <c r="U10" s="20" t="s">
        <v>21</v>
      </c>
    </row>
    <row r="11" spans="1:21">
      <c r="A11" s="23" t="s">
        <v>578</v>
      </c>
      <c r="B11" s="23" t="s">
        <v>319</v>
      </c>
      <c r="C11" s="23" t="s">
        <v>579</v>
      </c>
      <c r="D11" s="23" t="str">
        <f>"0,7019"</f>
        <v>0,7019</v>
      </c>
      <c r="E11" s="23" t="s">
        <v>17</v>
      </c>
      <c r="F11" s="23" t="s">
        <v>18</v>
      </c>
      <c r="G11" s="46" t="s">
        <v>280</v>
      </c>
      <c r="H11" s="46" t="s">
        <v>156</v>
      </c>
      <c r="I11" s="24" t="s">
        <v>577</v>
      </c>
      <c r="J11" s="24"/>
      <c r="K11" s="46" t="s">
        <v>165</v>
      </c>
      <c r="L11" s="46" t="s">
        <v>270</v>
      </c>
      <c r="M11" s="24" t="s">
        <v>166</v>
      </c>
      <c r="N11" s="24"/>
      <c r="O11" s="46" t="s">
        <v>156</v>
      </c>
      <c r="P11" s="46" t="s">
        <v>577</v>
      </c>
      <c r="Q11" s="46" t="s">
        <v>450</v>
      </c>
      <c r="R11" s="24"/>
      <c r="S11" s="41" t="str">
        <f>"375,0"</f>
        <v>375,0</v>
      </c>
      <c r="T11" s="42" t="str">
        <f>"263,2125"</f>
        <v>263,2125</v>
      </c>
      <c r="U11" s="23" t="s">
        <v>21</v>
      </c>
    </row>
    <row r="13" ht="14.25" spans="1:18">
      <c r="A13" s="18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21">
      <c r="A14" s="20" t="s">
        <v>580</v>
      </c>
      <c r="B14" s="20" t="s">
        <v>581</v>
      </c>
      <c r="C14" s="20" t="s">
        <v>582</v>
      </c>
      <c r="D14" s="20" t="str">
        <f>"0,6451"</f>
        <v>0,6451</v>
      </c>
      <c r="E14" s="20" t="s">
        <v>17</v>
      </c>
      <c r="F14" s="20" t="s">
        <v>583</v>
      </c>
      <c r="G14" s="22" t="s">
        <v>442</v>
      </c>
      <c r="H14" s="22" t="s">
        <v>298</v>
      </c>
      <c r="I14" s="22" t="s">
        <v>584</v>
      </c>
      <c r="J14" s="21"/>
      <c r="K14" s="22" t="s">
        <v>157</v>
      </c>
      <c r="L14" s="21" t="s">
        <v>158</v>
      </c>
      <c r="M14" s="21" t="s">
        <v>158</v>
      </c>
      <c r="N14" s="21"/>
      <c r="O14" s="22" t="s">
        <v>323</v>
      </c>
      <c r="P14" s="21" t="s">
        <v>585</v>
      </c>
      <c r="Q14" s="21" t="s">
        <v>327</v>
      </c>
      <c r="R14" s="21"/>
      <c r="S14" s="39" t="str">
        <f>"552,5"</f>
        <v>552,5</v>
      </c>
      <c r="T14" s="40" t="str">
        <f>"356,4177"</f>
        <v>356,4177</v>
      </c>
      <c r="U14" s="20" t="s">
        <v>21</v>
      </c>
    </row>
    <row r="15" spans="1:21">
      <c r="A15" s="43" t="s">
        <v>586</v>
      </c>
      <c r="B15" s="43" t="s">
        <v>587</v>
      </c>
      <c r="C15" s="43" t="s">
        <v>425</v>
      </c>
      <c r="D15" s="43" t="str">
        <f>"0,6540"</f>
        <v>0,6540</v>
      </c>
      <c r="E15" s="43" t="s">
        <v>17</v>
      </c>
      <c r="F15" s="43" t="s">
        <v>588</v>
      </c>
      <c r="G15" s="44" t="s">
        <v>287</v>
      </c>
      <c r="H15" s="45" t="s">
        <v>368</v>
      </c>
      <c r="I15" s="45" t="s">
        <v>368</v>
      </c>
      <c r="J15" s="45"/>
      <c r="K15" s="44" t="s">
        <v>156</v>
      </c>
      <c r="L15" s="44" t="s">
        <v>171</v>
      </c>
      <c r="M15" s="45" t="s">
        <v>577</v>
      </c>
      <c r="N15" s="45"/>
      <c r="O15" s="44" t="s">
        <v>287</v>
      </c>
      <c r="P15" s="44" t="s">
        <v>298</v>
      </c>
      <c r="Q15" s="45" t="s">
        <v>299</v>
      </c>
      <c r="R15" s="45"/>
      <c r="S15" s="47" t="str">
        <f>"500,0"</f>
        <v>500,0</v>
      </c>
      <c r="T15" s="48" t="str">
        <f>"327,0000"</f>
        <v>327,0000</v>
      </c>
      <c r="U15" s="43" t="s">
        <v>21</v>
      </c>
    </row>
    <row r="16" spans="1:21">
      <c r="A16" s="43" t="s">
        <v>589</v>
      </c>
      <c r="B16" s="43" t="s">
        <v>590</v>
      </c>
      <c r="C16" s="43" t="s">
        <v>591</v>
      </c>
      <c r="D16" s="43" t="str">
        <f>"0,6635"</f>
        <v>0,6635</v>
      </c>
      <c r="E16" s="43" t="s">
        <v>17</v>
      </c>
      <c r="F16" s="43" t="s">
        <v>367</v>
      </c>
      <c r="G16" s="44" t="s">
        <v>170</v>
      </c>
      <c r="H16" s="44" t="s">
        <v>156</v>
      </c>
      <c r="I16" s="44" t="s">
        <v>157</v>
      </c>
      <c r="J16" s="45"/>
      <c r="K16" s="44" t="s">
        <v>270</v>
      </c>
      <c r="L16" s="44" t="s">
        <v>166</v>
      </c>
      <c r="M16" s="44" t="s">
        <v>418</v>
      </c>
      <c r="N16" s="45"/>
      <c r="O16" s="44" t="s">
        <v>287</v>
      </c>
      <c r="P16" s="44" t="s">
        <v>368</v>
      </c>
      <c r="Q16" s="45" t="s">
        <v>316</v>
      </c>
      <c r="R16" s="45"/>
      <c r="S16" s="47" t="str">
        <f>"440,0"</f>
        <v>440,0</v>
      </c>
      <c r="T16" s="48" t="str">
        <f>"291,9400"</f>
        <v>291,9400</v>
      </c>
      <c r="U16" s="43" t="s">
        <v>21</v>
      </c>
    </row>
    <row r="17" spans="1:21">
      <c r="A17" s="23" t="s">
        <v>592</v>
      </c>
      <c r="B17" s="23" t="s">
        <v>593</v>
      </c>
      <c r="C17" s="23" t="s">
        <v>223</v>
      </c>
      <c r="D17" s="23" t="str">
        <f>"0,6535"</f>
        <v>0,6535</v>
      </c>
      <c r="E17" s="23" t="s">
        <v>17</v>
      </c>
      <c r="F17" s="23" t="s">
        <v>18</v>
      </c>
      <c r="G17" s="24" t="s">
        <v>166</v>
      </c>
      <c r="H17" s="46" t="s">
        <v>167</v>
      </c>
      <c r="I17" s="46" t="s">
        <v>280</v>
      </c>
      <c r="J17" s="24"/>
      <c r="K17" s="46" t="s">
        <v>270</v>
      </c>
      <c r="L17" s="46" t="s">
        <v>408</v>
      </c>
      <c r="M17" s="24" t="s">
        <v>274</v>
      </c>
      <c r="N17" s="24"/>
      <c r="O17" s="46" t="s">
        <v>157</v>
      </c>
      <c r="P17" s="46" t="s">
        <v>446</v>
      </c>
      <c r="Q17" s="24" t="s">
        <v>484</v>
      </c>
      <c r="R17" s="24"/>
      <c r="S17" s="41" t="str">
        <f>"387,5"</f>
        <v>387,5</v>
      </c>
      <c r="T17" s="42" t="str">
        <f>"253,2119"</f>
        <v>253,2119</v>
      </c>
      <c r="U17" s="23" t="s">
        <v>21</v>
      </c>
    </row>
    <row r="19" ht="14.25" spans="1:18">
      <c r="A19" s="18" t="s">
        <v>43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21">
      <c r="A20" s="20" t="s">
        <v>594</v>
      </c>
      <c r="B20" s="20" t="s">
        <v>595</v>
      </c>
      <c r="C20" s="20" t="s">
        <v>596</v>
      </c>
      <c r="D20" s="20" t="str">
        <f>"0,6205"</f>
        <v>0,6205</v>
      </c>
      <c r="E20" s="20" t="s">
        <v>17</v>
      </c>
      <c r="F20" s="20" t="s">
        <v>18</v>
      </c>
      <c r="G20" s="22" t="s">
        <v>285</v>
      </c>
      <c r="H20" s="22" t="s">
        <v>297</v>
      </c>
      <c r="I20" s="22" t="s">
        <v>584</v>
      </c>
      <c r="J20" s="21"/>
      <c r="K20" s="22" t="s">
        <v>166</v>
      </c>
      <c r="L20" s="22" t="s">
        <v>170</v>
      </c>
      <c r="M20" s="22" t="s">
        <v>156</v>
      </c>
      <c r="N20" s="21"/>
      <c r="O20" s="22" t="s">
        <v>298</v>
      </c>
      <c r="P20" s="22" t="s">
        <v>322</v>
      </c>
      <c r="Q20" s="21" t="s">
        <v>553</v>
      </c>
      <c r="R20" s="21"/>
      <c r="S20" s="39" t="str">
        <f>"522,5"</f>
        <v>522,5</v>
      </c>
      <c r="T20" s="40" t="str">
        <f>"324,2113"</f>
        <v>324,2113</v>
      </c>
      <c r="U20" s="20" t="s">
        <v>21</v>
      </c>
    </row>
    <row r="21" spans="1:21">
      <c r="A21" s="23" t="s">
        <v>313</v>
      </c>
      <c r="B21" s="23" t="s">
        <v>314</v>
      </c>
      <c r="C21" s="23" t="s">
        <v>315</v>
      </c>
      <c r="D21" s="23" t="str">
        <f>"0,6122"</f>
        <v>0,6122</v>
      </c>
      <c r="E21" s="23" t="s">
        <v>17</v>
      </c>
      <c r="F21" s="23" t="s">
        <v>237</v>
      </c>
      <c r="G21" s="46" t="s">
        <v>285</v>
      </c>
      <c r="H21" s="24"/>
      <c r="I21" s="24"/>
      <c r="J21" s="24"/>
      <c r="K21" s="46" t="s">
        <v>170</v>
      </c>
      <c r="L21" s="46" t="s">
        <v>409</v>
      </c>
      <c r="M21" s="46" t="s">
        <v>171</v>
      </c>
      <c r="N21" s="24"/>
      <c r="O21" s="46" t="s">
        <v>316</v>
      </c>
      <c r="P21" s="46" t="s">
        <v>311</v>
      </c>
      <c r="Q21" s="24"/>
      <c r="R21" s="24"/>
      <c r="S21" s="41" t="str">
        <f>"510,0"</f>
        <v>510,0</v>
      </c>
      <c r="T21" s="42" t="str">
        <f>"312,2475"</f>
        <v>312,2475</v>
      </c>
      <c r="U21" s="23" t="s">
        <v>21</v>
      </c>
    </row>
    <row r="23" ht="14.25" spans="5:5">
      <c r="E23" s="25" t="s">
        <v>49</v>
      </c>
    </row>
    <row r="24" ht="14.25" spans="5:5">
      <c r="E24" s="25" t="s">
        <v>50</v>
      </c>
    </row>
    <row r="25" ht="14.25" spans="5:5">
      <c r="E25" s="25" t="s">
        <v>51</v>
      </c>
    </row>
    <row r="26" ht="14.25" spans="5:5">
      <c r="E26" s="25" t="s">
        <v>52</v>
      </c>
    </row>
    <row r="27" ht="14.25" spans="5:5">
      <c r="E27" s="25" t="s">
        <v>52</v>
      </c>
    </row>
    <row r="28" ht="14.25" spans="5:5">
      <c r="E28" s="25" t="s">
        <v>53</v>
      </c>
    </row>
    <row r="29" ht="14.25" spans="5:5">
      <c r="E29" s="25"/>
    </row>
    <row r="31" ht="18.75" spans="1:2">
      <c r="A31" s="26" t="s">
        <v>54</v>
      </c>
      <c r="B31" s="26"/>
    </row>
    <row r="32" ht="14.25" spans="1:2">
      <c r="A32" s="27" t="s">
        <v>55</v>
      </c>
      <c r="B32" s="27"/>
    </row>
    <row r="33" ht="13.5" spans="1:2">
      <c r="A33" s="28"/>
      <c r="B33" s="29" t="s">
        <v>67</v>
      </c>
    </row>
    <row r="34" ht="13.5" spans="1:5">
      <c r="A34" s="30" t="s">
        <v>57</v>
      </c>
      <c r="B34" s="30" t="s">
        <v>58</v>
      </c>
      <c r="C34" s="30" t="s">
        <v>59</v>
      </c>
      <c r="D34" s="30" t="s">
        <v>561</v>
      </c>
      <c r="E34" s="30" t="s">
        <v>61</v>
      </c>
    </row>
    <row r="35" spans="1:5">
      <c r="A35" s="31" t="s">
        <v>597</v>
      </c>
      <c r="B35" s="3" t="s">
        <v>67</v>
      </c>
      <c r="C35" s="3" t="s">
        <v>77</v>
      </c>
      <c r="D35" s="3" t="s">
        <v>598</v>
      </c>
      <c r="E35" s="5" t="s">
        <v>599</v>
      </c>
    </row>
    <row r="36" spans="1:5">
      <c r="A36" s="31" t="s">
        <v>600</v>
      </c>
      <c r="B36" s="3" t="s">
        <v>67</v>
      </c>
      <c r="C36" s="3" t="s">
        <v>77</v>
      </c>
      <c r="D36" s="3" t="s">
        <v>601</v>
      </c>
      <c r="E36" s="5" t="s">
        <v>602</v>
      </c>
    </row>
    <row r="37" spans="1:5">
      <c r="A37" s="31" t="s">
        <v>603</v>
      </c>
      <c r="B37" s="3" t="s">
        <v>67</v>
      </c>
      <c r="C37" s="3" t="s">
        <v>73</v>
      </c>
      <c r="D37" s="3" t="s">
        <v>604</v>
      </c>
      <c r="E37" s="5" t="s">
        <v>605</v>
      </c>
    </row>
    <row r="38" spans="1:5">
      <c r="A38" s="31" t="s">
        <v>344</v>
      </c>
      <c r="B38" s="3" t="s">
        <v>67</v>
      </c>
      <c r="C38" s="3" t="s">
        <v>73</v>
      </c>
      <c r="D38" s="3" t="s">
        <v>606</v>
      </c>
      <c r="E38" s="5" t="s">
        <v>607</v>
      </c>
    </row>
    <row r="39" spans="1:5">
      <c r="A39" s="31" t="s">
        <v>346</v>
      </c>
      <c r="B39" s="3" t="s">
        <v>67</v>
      </c>
      <c r="C39" s="3" t="s">
        <v>64</v>
      </c>
      <c r="D39" s="3" t="s">
        <v>608</v>
      </c>
      <c r="E39" s="5" t="s">
        <v>609</v>
      </c>
    </row>
    <row r="40" spans="1:5">
      <c r="A40" s="31" t="s">
        <v>610</v>
      </c>
      <c r="B40" s="3" t="s">
        <v>67</v>
      </c>
      <c r="C40" s="3" t="s">
        <v>77</v>
      </c>
      <c r="D40" s="3" t="s">
        <v>611</v>
      </c>
      <c r="E40" s="5" t="s">
        <v>612</v>
      </c>
    </row>
    <row r="41" spans="1:5">
      <c r="A41" s="31" t="s">
        <v>613</v>
      </c>
      <c r="B41" s="3" t="s">
        <v>67</v>
      </c>
      <c r="C41" s="3" t="s">
        <v>69</v>
      </c>
      <c r="D41" s="3" t="s">
        <v>614</v>
      </c>
      <c r="E41" s="5" t="s">
        <v>615</v>
      </c>
    </row>
    <row r="42" spans="1:5">
      <c r="A42" s="31" t="s">
        <v>616</v>
      </c>
      <c r="B42" s="3" t="s">
        <v>67</v>
      </c>
      <c r="C42" s="3" t="s">
        <v>64</v>
      </c>
      <c r="D42" s="3" t="s">
        <v>617</v>
      </c>
      <c r="E42" s="5" t="s">
        <v>618</v>
      </c>
    </row>
    <row r="43" spans="1:5">
      <c r="A43" s="31" t="s">
        <v>619</v>
      </c>
      <c r="B43" s="3" t="s">
        <v>67</v>
      </c>
      <c r="C43" s="3" t="s">
        <v>69</v>
      </c>
      <c r="D43" s="3" t="s">
        <v>620</v>
      </c>
      <c r="E43" s="5" t="s">
        <v>621</v>
      </c>
    </row>
    <row r="44" spans="1:5">
      <c r="A44" s="31" t="s">
        <v>622</v>
      </c>
      <c r="B44" s="3" t="s">
        <v>67</v>
      </c>
      <c r="C44" s="3" t="s">
        <v>77</v>
      </c>
      <c r="D44" s="3" t="s">
        <v>623</v>
      </c>
      <c r="E44" s="5" t="s">
        <v>624</v>
      </c>
    </row>
  </sheetData>
  <mergeCells count="17">
    <mergeCell ref="G3:J3"/>
    <mergeCell ref="K3:N3"/>
    <mergeCell ref="O3:R3"/>
    <mergeCell ref="A5:R5"/>
    <mergeCell ref="A9:R9"/>
    <mergeCell ref="A13:R13"/>
    <mergeCell ref="A19:R19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5.2190476190476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24.2190476190476" style="3" customWidth="1"/>
    <col min="7" max="9" width="5.55238095238095" style="4" customWidth="1"/>
    <col min="10" max="10" width="4.55238095238095" style="4" customWidth="1"/>
    <col min="11" max="11" width="7.66666666666667" style="5" customWidth="1"/>
    <col min="12" max="12" width="8.55238095238095" style="1" customWidth="1"/>
    <col min="13" max="13" width="8.33333333333333" style="3" customWidth="1"/>
    <col min="14" max="16384" width="9.1047619047619" style="4"/>
  </cols>
  <sheetData>
    <row r="1" s="1" customFormat="1" ht="28.95" customHeight="1" spans="1:13">
      <c r="A1" s="6" t="s">
        <v>625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362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489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6" t="s">
        <v>626</v>
      </c>
      <c r="B6" s="16" t="s">
        <v>627</v>
      </c>
      <c r="C6" s="16" t="s">
        <v>628</v>
      </c>
      <c r="D6" s="16" t="str">
        <f>"0,5413"</f>
        <v>0,5413</v>
      </c>
      <c r="E6" s="16" t="s">
        <v>17</v>
      </c>
      <c r="F6" s="16" t="s">
        <v>629</v>
      </c>
      <c r="G6" s="17" t="s">
        <v>630</v>
      </c>
      <c r="H6" s="32" t="s">
        <v>617</v>
      </c>
      <c r="I6" s="32" t="s">
        <v>617</v>
      </c>
      <c r="J6" s="32"/>
      <c r="K6" s="37" t="str">
        <f>"330,0"</f>
        <v>330,0</v>
      </c>
      <c r="L6" s="38" t="str">
        <f>"178,6356"</f>
        <v>178,6356</v>
      </c>
      <c r="M6" s="16" t="s">
        <v>21</v>
      </c>
    </row>
    <row r="8" ht="14.25" spans="5:5">
      <c r="E8" s="25" t="s">
        <v>49</v>
      </c>
    </row>
    <row r="9" ht="14.25" spans="5:5">
      <c r="E9" s="25" t="s">
        <v>50</v>
      </c>
    </row>
    <row r="10" ht="14.25" spans="5:5">
      <c r="E10" s="25" t="s">
        <v>51</v>
      </c>
    </row>
    <row r="11" ht="14.25" spans="5:5">
      <c r="E11" s="25" t="s">
        <v>52</v>
      </c>
    </row>
    <row r="12" ht="14.25" spans="5:5">
      <c r="E12" s="25" t="s">
        <v>52</v>
      </c>
    </row>
    <row r="13" ht="14.25" spans="5:5">
      <c r="E13" s="25" t="s">
        <v>53</v>
      </c>
    </row>
    <row r="14" ht="14.25" spans="5:5">
      <c r="E14" s="25"/>
    </row>
    <row r="16" ht="18.75" spans="1:2">
      <c r="A16" s="26" t="s">
        <v>54</v>
      </c>
      <c r="B16" s="26"/>
    </row>
    <row r="17" ht="14.25" spans="1:2">
      <c r="A17" s="27" t="s">
        <v>55</v>
      </c>
      <c r="B17" s="27"/>
    </row>
    <row r="18" ht="13.5" spans="1:2">
      <c r="A18" s="28"/>
      <c r="B18" s="29" t="s">
        <v>67</v>
      </c>
    </row>
    <row r="19" ht="13.5" spans="1:5">
      <c r="A19" s="30" t="s">
        <v>57</v>
      </c>
      <c r="B19" s="30" t="s">
        <v>58</v>
      </c>
      <c r="C19" s="30" t="s">
        <v>59</v>
      </c>
      <c r="D19" s="30" t="s">
        <v>60</v>
      </c>
      <c r="E19" s="30" t="s">
        <v>61</v>
      </c>
    </row>
    <row r="20" spans="1:5">
      <c r="A20" s="31" t="s">
        <v>631</v>
      </c>
      <c r="B20" s="3" t="s">
        <v>67</v>
      </c>
      <c r="C20" s="3" t="s">
        <v>511</v>
      </c>
      <c r="D20" s="3" t="s">
        <v>630</v>
      </c>
      <c r="E20" s="5" t="s">
        <v>632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9.8857142857143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30.2190476190476" style="3" customWidth="1"/>
    <col min="7" max="9" width="5.55238095238095" style="4" customWidth="1"/>
    <col min="10" max="10" width="4.55238095238095" style="4" customWidth="1"/>
    <col min="11" max="11" width="7.66666666666667" style="5" customWidth="1"/>
    <col min="12" max="12" width="8.55238095238095" style="1" customWidth="1"/>
    <col min="13" max="13" width="8.33333333333333" style="3" customWidth="1"/>
    <col min="14" max="16384" width="9.1047619047619" style="4"/>
  </cols>
  <sheetData>
    <row r="1" s="1" customFormat="1" ht="28.95" customHeight="1" spans="1:13">
      <c r="A1" s="6" t="s">
        <v>633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362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33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6" t="s">
        <v>634</v>
      </c>
      <c r="B6" s="16" t="s">
        <v>635</v>
      </c>
      <c r="C6" s="16" t="s">
        <v>223</v>
      </c>
      <c r="D6" s="16" t="str">
        <f>"0,6535"</f>
        <v>0,6535</v>
      </c>
      <c r="E6" s="16" t="s">
        <v>17</v>
      </c>
      <c r="F6" s="16" t="s">
        <v>636</v>
      </c>
      <c r="G6" s="17" t="s">
        <v>299</v>
      </c>
      <c r="H6" s="32" t="s">
        <v>637</v>
      </c>
      <c r="I6" s="32" t="s">
        <v>637</v>
      </c>
      <c r="J6" s="32"/>
      <c r="K6" s="37" t="str">
        <f>"195,0"</f>
        <v>195,0</v>
      </c>
      <c r="L6" s="38" t="str">
        <f>"127,4228"</f>
        <v>127,4228</v>
      </c>
      <c r="M6" s="16" t="s">
        <v>21</v>
      </c>
    </row>
    <row r="8" ht="14.25" spans="1:10">
      <c r="A8" s="18" t="s">
        <v>317</v>
      </c>
      <c r="B8" s="19"/>
      <c r="C8" s="19"/>
      <c r="D8" s="19"/>
      <c r="E8" s="19"/>
      <c r="F8" s="19"/>
      <c r="G8" s="19"/>
      <c r="H8" s="19"/>
      <c r="I8" s="19"/>
      <c r="J8" s="19"/>
    </row>
    <row r="9" spans="1:13">
      <c r="A9" s="16" t="s">
        <v>638</v>
      </c>
      <c r="B9" s="16" t="s">
        <v>639</v>
      </c>
      <c r="C9" s="16" t="s">
        <v>640</v>
      </c>
      <c r="D9" s="16" t="str">
        <f>"0,5900"</f>
        <v>0,5900</v>
      </c>
      <c r="E9" s="16" t="s">
        <v>17</v>
      </c>
      <c r="F9" s="16" t="s">
        <v>588</v>
      </c>
      <c r="G9" s="17" t="s">
        <v>442</v>
      </c>
      <c r="H9" s="32" t="s">
        <v>297</v>
      </c>
      <c r="I9" s="32" t="s">
        <v>297</v>
      </c>
      <c r="J9" s="32"/>
      <c r="K9" s="37" t="str">
        <f>"170,0"</f>
        <v>170,0</v>
      </c>
      <c r="L9" s="38" t="str">
        <f>"100,2915"</f>
        <v>100,2915</v>
      </c>
      <c r="M9" s="16" t="s">
        <v>21</v>
      </c>
    </row>
    <row r="11" ht="14.25" spans="1:10">
      <c r="A11" s="18" t="s">
        <v>233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3">
      <c r="A12" s="20" t="s">
        <v>641</v>
      </c>
      <c r="B12" s="20" t="s">
        <v>642</v>
      </c>
      <c r="C12" s="20" t="s">
        <v>643</v>
      </c>
      <c r="D12" s="20" t="str">
        <f>"0,5725"</f>
        <v>0,5725</v>
      </c>
      <c r="E12" s="20" t="s">
        <v>17</v>
      </c>
      <c r="F12" s="20" t="s">
        <v>644</v>
      </c>
      <c r="G12" s="22" t="s">
        <v>316</v>
      </c>
      <c r="H12" s="22" t="s">
        <v>322</v>
      </c>
      <c r="I12" s="22" t="s">
        <v>552</v>
      </c>
      <c r="J12" s="21"/>
      <c r="K12" s="39" t="str">
        <f>"207,5"</f>
        <v>207,5</v>
      </c>
      <c r="L12" s="40" t="str">
        <f>"118,8041"</f>
        <v>118,8041</v>
      </c>
      <c r="M12" s="20" t="s">
        <v>21</v>
      </c>
    </row>
    <row r="13" spans="1:13">
      <c r="A13" s="43" t="s">
        <v>645</v>
      </c>
      <c r="B13" s="43" t="s">
        <v>646</v>
      </c>
      <c r="C13" s="43" t="s">
        <v>647</v>
      </c>
      <c r="D13" s="43" t="str">
        <f>"0,5688"</f>
        <v>0,5688</v>
      </c>
      <c r="E13" s="43" t="s">
        <v>17</v>
      </c>
      <c r="F13" s="43" t="s">
        <v>636</v>
      </c>
      <c r="G13" s="44" t="s">
        <v>297</v>
      </c>
      <c r="H13" s="45" t="s">
        <v>287</v>
      </c>
      <c r="I13" s="45" t="s">
        <v>287</v>
      </c>
      <c r="J13" s="45"/>
      <c r="K13" s="47" t="str">
        <f>"175,0"</f>
        <v>175,0</v>
      </c>
      <c r="L13" s="48" t="str">
        <f>"99,5487"</f>
        <v>99,5487</v>
      </c>
      <c r="M13" s="43" t="s">
        <v>21</v>
      </c>
    </row>
    <row r="14" spans="1:13">
      <c r="A14" s="23" t="s">
        <v>648</v>
      </c>
      <c r="B14" s="23" t="s">
        <v>649</v>
      </c>
      <c r="C14" s="23" t="s">
        <v>650</v>
      </c>
      <c r="D14" s="23" t="str">
        <f>"0,5640"</f>
        <v>0,5640</v>
      </c>
      <c r="E14" s="23" t="s">
        <v>295</v>
      </c>
      <c r="F14" s="23" t="s">
        <v>651</v>
      </c>
      <c r="G14" s="46" t="s">
        <v>418</v>
      </c>
      <c r="H14" s="46" t="s">
        <v>275</v>
      </c>
      <c r="I14" s="24" t="s">
        <v>170</v>
      </c>
      <c r="J14" s="24"/>
      <c r="K14" s="41" t="str">
        <f>"117,5"</f>
        <v>117,5</v>
      </c>
      <c r="L14" s="42" t="str">
        <f>"92,3059"</f>
        <v>92,3059</v>
      </c>
      <c r="M14" s="23" t="s">
        <v>21</v>
      </c>
    </row>
    <row r="16" ht="14.25" spans="5:5">
      <c r="E16" s="25" t="s">
        <v>49</v>
      </c>
    </row>
    <row r="17" ht="14.25" spans="5:5">
      <c r="E17" s="25" t="s">
        <v>50</v>
      </c>
    </row>
    <row r="18" ht="14.25" spans="5:5">
      <c r="E18" s="25" t="s">
        <v>51</v>
      </c>
    </row>
    <row r="19" ht="14.25" spans="5:5">
      <c r="E19" s="25" t="s">
        <v>52</v>
      </c>
    </row>
    <row r="20" ht="14.25" spans="5:5">
      <c r="E20" s="25" t="s">
        <v>52</v>
      </c>
    </row>
    <row r="21" ht="14.25" spans="5:5">
      <c r="E21" s="25" t="s">
        <v>53</v>
      </c>
    </row>
    <row r="22" ht="14.25" spans="5:5">
      <c r="E22" s="25"/>
    </row>
    <row r="24" ht="18.75" spans="1:2">
      <c r="A24" s="26" t="s">
        <v>54</v>
      </c>
      <c r="B24" s="26"/>
    </row>
    <row r="25" ht="14.25" spans="1:2">
      <c r="A25" s="27" t="s">
        <v>55</v>
      </c>
      <c r="B25" s="27"/>
    </row>
    <row r="26" ht="13.5" spans="1:2">
      <c r="A26" s="28"/>
      <c r="B26" s="29" t="s">
        <v>67</v>
      </c>
    </row>
    <row r="27" ht="13.5" spans="1:5">
      <c r="A27" s="30" t="s">
        <v>57</v>
      </c>
      <c r="B27" s="30" t="s">
        <v>58</v>
      </c>
      <c r="C27" s="30" t="s">
        <v>59</v>
      </c>
      <c r="D27" s="30" t="s">
        <v>60</v>
      </c>
      <c r="E27" s="30" t="s">
        <v>61</v>
      </c>
    </row>
    <row r="28" spans="1:5">
      <c r="A28" s="31" t="s">
        <v>652</v>
      </c>
      <c r="B28" s="3" t="s">
        <v>67</v>
      </c>
      <c r="C28" s="3" t="s">
        <v>77</v>
      </c>
      <c r="D28" s="3" t="s">
        <v>299</v>
      </c>
      <c r="E28" s="5" t="s">
        <v>653</v>
      </c>
    </row>
    <row r="29" spans="1:5">
      <c r="A29" s="31" t="s">
        <v>654</v>
      </c>
      <c r="B29" s="3" t="s">
        <v>67</v>
      </c>
      <c r="C29" s="3" t="s">
        <v>243</v>
      </c>
      <c r="D29" s="3" t="s">
        <v>552</v>
      </c>
      <c r="E29" s="5" t="s">
        <v>655</v>
      </c>
    </row>
    <row r="30" spans="1:5">
      <c r="A30" s="31" t="s">
        <v>656</v>
      </c>
      <c r="B30" s="3" t="s">
        <v>67</v>
      </c>
      <c r="C30" s="3" t="s">
        <v>342</v>
      </c>
      <c r="D30" s="3" t="s">
        <v>442</v>
      </c>
      <c r="E30" s="5" t="s">
        <v>657</v>
      </c>
    </row>
    <row r="31" spans="1:5">
      <c r="A31" s="31" t="s">
        <v>658</v>
      </c>
      <c r="B31" s="3" t="s">
        <v>67</v>
      </c>
      <c r="C31" s="3" t="s">
        <v>243</v>
      </c>
      <c r="D31" s="3" t="s">
        <v>297</v>
      </c>
      <c r="E31" s="5" t="s">
        <v>659</v>
      </c>
    </row>
    <row r="33" ht="13.5" spans="1:2">
      <c r="A33" s="28"/>
      <c r="B33" s="29" t="s">
        <v>80</v>
      </c>
    </row>
    <row r="34" ht="13.5" spans="1:5">
      <c r="A34" s="30" t="s">
        <v>57</v>
      </c>
      <c r="B34" s="30" t="s">
        <v>58</v>
      </c>
      <c r="C34" s="30" t="s">
        <v>59</v>
      </c>
      <c r="D34" s="30" t="s">
        <v>60</v>
      </c>
      <c r="E34" s="30" t="s">
        <v>61</v>
      </c>
    </row>
    <row r="35" spans="1:5">
      <c r="A35" s="31" t="s">
        <v>660</v>
      </c>
      <c r="B35" s="3" t="s">
        <v>661</v>
      </c>
      <c r="C35" s="3" t="s">
        <v>243</v>
      </c>
      <c r="D35" s="3" t="s">
        <v>275</v>
      </c>
      <c r="E35" s="5" t="s">
        <v>662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abSelected="1" workbookViewId="0">
      <selection activeCell="A1" sqref="A1:U2"/>
    </sheetView>
  </sheetViews>
  <sheetFormatPr defaultColWidth="9.1047619047619" defaultRowHeight="12"/>
  <cols>
    <col min="1" max="1" width="24.6666666666667" style="3" customWidth="1"/>
    <col min="2" max="2" width="28.4380952380952" style="3" customWidth="1"/>
    <col min="3" max="3" width="14.8857142857143" style="3" customWidth="1"/>
    <col min="4" max="4" width="8.21904761904762" style="3" customWidth="1"/>
    <col min="5" max="5" width="21.7809523809524" style="3" customWidth="1"/>
    <col min="6" max="6" width="16.1047619047619" style="3" customWidth="1"/>
    <col min="7" max="9" width="5.55238095238095" style="4" customWidth="1"/>
    <col min="10" max="10" width="4.55238095238095" style="4" customWidth="1"/>
    <col min="11" max="13" width="5.55238095238095" style="4" customWidth="1"/>
    <col min="14" max="14" width="4.55238095238095" style="4" customWidth="1"/>
    <col min="15" max="17" width="5.55238095238095" style="4" customWidth="1"/>
    <col min="18" max="18" width="4.55238095238095" style="4" customWidth="1"/>
    <col min="19" max="19" width="7.66666666666667" style="5" customWidth="1"/>
    <col min="20" max="20" width="8.55238095238095" style="1" customWidth="1"/>
    <col min="21" max="21" width="8.33333333333333" style="3" customWidth="1"/>
    <col min="22" max="16384" width="9.1047619047619" style="4"/>
  </cols>
  <sheetData>
    <row r="1" s="1" customFormat="1" ht="28.95" customHeight="1" spans="1:21">
      <c r="A1" s="6" t="s">
        <v>663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33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4"/>
    </row>
    <row r="3" s="2" customFormat="1" ht="12.75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547</v>
      </c>
      <c r="H3" s="12"/>
      <c r="I3" s="12"/>
      <c r="J3" s="12"/>
      <c r="K3" s="12" t="s">
        <v>362</v>
      </c>
      <c r="L3" s="12"/>
      <c r="M3" s="12"/>
      <c r="N3" s="12"/>
      <c r="O3" s="12" t="s">
        <v>265</v>
      </c>
      <c r="P3" s="12"/>
      <c r="Q3" s="12"/>
      <c r="R3" s="12"/>
      <c r="S3" s="12" t="s">
        <v>548</v>
      </c>
      <c r="T3" s="12" t="s">
        <v>9</v>
      </c>
      <c r="U3" s="35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>
        <v>1</v>
      </c>
      <c r="L4" s="14">
        <v>2</v>
      </c>
      <c r="M4" s="14">
        <v>3</v>
      </c>
      <c r="N4" s="14" t="s">
        <v>194</v>
      </c>
      <c r="O4" s="14">
        <v>1</v>
      </c>
      <c r="P4" s="14">
        <v>2</v>
      </c>
      <c r="Q4" s="14">
        <v>3</v>
      </c>
      <c r="R4" s="14" t="s">
        <v>194</v>
      </c>
      <c r="S4" s="14"/>
      <c r="T4" s="14"/>
      <c r="U4" s="36"/>
    </row>
    <row r="5" ht="14.25" spans="1:18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1">
      <c r="A6" s="16" t="s">
        <v>664</v>
      </c>
      <c r="B6" s="16" t="s">
        <v>665</v>
      </c>
      <c r="C6" s="16" t="s">
        <v>666</v>
      </c>
      <c r="D6" s="16" t="str">
        <f>"0,6955"</f>
        <v>0,6955</v>
      </c>
      <c r="E6" s="16" t="s">
        <v>17</v>
      </c>
      <c r="F6" s="16" t="s">
        <v>18</v>
      </c>
      <c r="G6" s="17" t="s">
        <v>285</v>
      </c>
      <c r="H6" s="17" t="s">
        <v>442</v>
      </c>
      <c r="I6" s="32"/>
      <c r="J6" s="32"/>
      <c r="K6" s="17" t="s">
        <v>166</v>
      </c>
      <c r="L6" s="17" t="s">
        <v>167</v>
      </c>
      <c r="M6" s="17" t="s">
        <v>170</v>
      </c>
      <c r="N6" s="32"/>
      <c r="O6" s="17" t="s">
        <v>299</v>
      </c>
      <c r="P6" s="17" t="s">
        <v>667</v>
      </c>
      <c r="Q6" s="32" t="s">
        <v>668</v>
      </c>
      <c r="R6" s="32"/>
      <c r="S6" s="37" t="str">
        <f>"507,5"</f>
        <v>507,5</v>
      </c>
      <c r="T6" s="38" t="str">
        <f>"352,9409"</f>
        <v>352,9409</v>
      </c>
      <c r="U6" s="16" t="s">
        <v>21</v>
      </c>
    </row>
    <row r="8" ht="14.25" spans="1:18">
      <c r="A8" s="18" t="s">
        <v>43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21">
      <c r="A9" s="20" t="s">
        <v>669</v>
      </c>
      <c r="B9" s="20" t="s">
        <v>670</v>
      </c>
      <c r="C9" s="20" t="s">
        <v>671</v>
      </c>
      <c r="D9" s="20" t="str">
        <f>"0,6192"</f>
        <v>0,6192</v>
      </c>
      <c r="E9" s="20" t="s">
        <v>17</v>
      </c>
      <c r="F9" s="20" t="s">
        <v>18</v>
      </c>
      <c r="G9" s="21" t="s">
        <v>287</v>
      </c>
      <c r="H9" s="22" t="s">
        <v>287</v>
      </c>
      <c r="I9" s="21" t="s">
        <v>368</v>
      </c>
      <c r="J9" s="21"/>
      <c r="K9" s="22" t="s">
        <v>450</v>
      </c>
      <c r="L9" s="22" t="s">
        <v>446</v>
      </c>
      <c r="M9" s="22" t="s">
        <v>291</v>
      </c>
      <c r="N9" s="21"/>
      <c r="O9" s="22" t="s">
        <v>311</v>
      </c>
      <c r="P9" s="22" t="s">
        <v>323</v>
      </c>
      <c r="Q9" s="22" t="s">
        <v>672</v>
      </c>
      <c r="R9" s="21"/>
      <c r="S9" s="39" t="str">
        <f>"582,5"</f>
        <v>582,5</v>
      </c>
      <c r="T9" s="40" t="str">
        <f>"360,7131"</f>
        <v>360,7131</v>
      </c>
      <c r="U9" s="20" t="s">
        <v>21</v>
      </c>
    </row>
    <row r="10" spans="1:21">
      <c r="A10" s="23" t="s">
        <v>673</v>
      </c>
      <c r="B10" s="23" t="s">
        <v>674</v>
      </c>
      <c r="C10" s="23" t="s">
        <v>675</v>
      </c>
      <c r="D10" s="23" t="str">
        <f>"0,6141"</f>
        <v>0,6141</v>
      </c>
      <c r="E10" s="23" t="s">
        <v>17</v>
      </c>
      <c r="F10" s="23" t="s">
        <v>18</v>
      </c>
      <c r="G10" s="24" t="s">
        <v>297</v>
      </c>
      <c r="H10" s="24" t="s">
        <v>297</v>
      </c>
      <c r="I10" s="24" t="s">
        <v>297</v>
      </c>
      <c r="J10" s="24"/>
      <c r="K10" s="24" t="s">
        <v>446</v>
      </c>
      <c r="L10" s="24"/>
      <c r="M10" s="24"/>
      <c r="N10" s="24"/>
      <c r="O10" s="24" t="s">
        <v>676</v>
      </c>
      <c r="P10" s="24"/>
      <c r="Q10" s="24"/>
      <c r="R10" s="24"/>
      <c r="S10" s="41" t="str">
        <f>"0.00"</f>
        <v>0.00</v>
      </c>
      <c r="T10" s="42" t="str">
        <f>"0,0000"</f>
        <v>0,0000</v>
      </c>
      <c r="U10" s="23" t="s">
        <v>21</v>
      </c>
    </row>
    <row r="12" ht="14.25" spans="5:5">
      <c r="E12" s="25" t="s">
        <v>49</v>
      </c>
    </row>
    <row r="13" ht="14.25" spans="5:5">
      <c r="E13" s="25" t="s">
        <v>50</v>
      </c>
    </row>
    <row r="14" ht="14.25" spans="5:5">
      <c r="E14" s="25" t="s">
        <v>51</v>
      </c>
    </row>
    <row r="15" ht="14.25" spans="5:5">
      <c r="E15" s="25" t="s">
        <v>52</v>
      </c>
    </row>
    <row r="16" ht="14.25" spans="5:5">
      <c r="E16" s="25" t="s">
        <v>52</v>
      </c>
    </row>
    <row r="17" ht="14.25" spans="5:5">
      <c r="E17" s="25" t="s">
        <v>53</v>
      </c>
    </row>
    <row r="18" ht="14.25" spans="5:5">
      <c r="E18" s="25"/>
    </row>
    <row r="20" ht="18.75" spans="1:2">
      <c r="A20" s="26" t="s">
        <v>54</v>
      </c>
      <c r="B20" s="26"/>
    </row>
    <row r="21" ht="14.25" spans="1:2">
      <c r="A21" s="27" t="s">
        <v>55</v>
      </c>
      <c r="B21" s="27"/>
    </row>
    <row r="22" ht="13.5" spans="1:2">
      <c r="A22" s="28"/>
      <c r="B22" s="29" t="s">
        <v>56</v>
      </c>
    </row>
    <row r="23" ht="13.5" spans="1:5">
      <c r="A23" s="30" t="s">
        <v>57</v>
      </c>
      <c r="B23" s="30" t="s">
        <v>58</v>
      </c>
      <c r="C23" s="30" t="s">
        <v>59</v>
      </c>
      <c r="D23" s="30" t="s">
        <v>561</v>
      </c>
      <c r="E23" s="30" t="s">
        <v>61</v>
      </c>
    </row>
    <row r="24" spans="1:5">
      <c r="A24" s="31" t="s">
        <v>677</v>
      </c>
      <c r="B24" s="3" t="s">
        <v>63</v>
      </c>
      <c r="C24" s="3" t="s">
        <v>69</v>
      </c>
      <c r="D24" s="3" t="s">
        <v>678</v>
      </c>
      <c r="E24" s="5" t="s">
        <v>679</v>
      </c>
    </row>
    <row r="26" ht="13.5" spans="1:2">
      <c r="A26" s="28"/>
      <c r="B26" s="29" t="s">
        <v>67</v>
      </c>
    </row>
    <row r="27" ht="13.5" spans="1:5">
      <c r="A27" s="30" t="s">
        <v>57</v>
      </c>
      <c r="B27" s="30" t="s">
        <v>58</v>
      </c>
      <c r="C27" s="30" t="s">
        <v>59</v>
      </c>
      <c r="D27" s="30" t="s">
        <v>561</v>
      </c>
      <c r="E27" s="30" t="s">
        <v>61</v>
      </c>
    </row>
    <row r="28" spans="1:5">
      <c r="A28" s="31" t="s">
        <v>680</v>
      </c>
      <c r="B28" s="3" t="s">
        <v>67</v>
      </c>
      <c r="C28" s="3" t="s">
        <v>73</v>
      </c>
      <c r="D28" s="3" t="s">
        <v>681</v>
      </c>
      <c r="E28" s="5" t="s">
        <v>682</v>
      </c>
    </row>
  </sheetData>
  <mergeCells count="15">
    <mergeCell ref="G3:J3"/>
    <mergeCell ref="K3:N3"/>
    <mergeCell ref="O3:R3"/>
    <mergeCell ref="A5:R5"/>
    <mergeCell ref="A8:R8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5.2190476190476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33.1047619047619" style="3" customWidth="1"/>
    <col min="7" max="7" width="4.78095238095238" style="4" customWidth="1"/>
    <col min="8" max="8" width="10" style="4" customWidth="1"/>
    <col min="9" max="9" width="7.66666666666667" style="5" customWidth="1"/>
    <col min="10" max="10" width="9.55238095238095" style="1" customWidth="1"/>
    <col min="11" max="11" width="8.33333333333333" style="3" customWidth="1"/>
    <col min="12" max="16384" width="9.1047619047619" style="4"/>
  </cols>
  <sheetData>
    <row r="1" s="1" customFormat="1" ht="28.95" customHeight="1" spans="1:11">
      <c r="A1" s="6" t="s">
        <v>89</v>
      </c>
      <c r="B1" s="7"/>
      <c r="C1" s="7"/>
      <c r="D1" s="7"/>
      <c r="E1" s="7"/>
      <c r="F1" s="7"/>
      <c r="G1" s="7"/>
      <c r="H1" s="7"/>
      <c r="I1" s="7"/>
      <c r="J1" s="7"/>
      <c r="K1" s="33"/>
    </row>
    <row r="2" s="1" customFormat="1" ht="61.95" customHeight="1" spans="1:11">
      <c r="A2" s="8"/>
      <c r="B2" s="9"/>
      <c r="C2" s="9"/>
      <c r="D2" s="9"/>
      <c r="E2" s="9"/>
      <c r="F2" s="9"/>
      <c r="G2" s="9"/>
      <c r="H2" s="9"/>
      <c r="I2" s="9"/>
      <c r="J2" s="9"/>
      <c r="K2" s="34"/>
    </row>
    <row r="3" s="2" customFormat="1" ht="12.75" customHeight="1" spans="1:1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 t="s">
        <v>8</v>
      </c>
      <c r="J3" s="12" t="s">
        <v>9</v>
      </c>
      <c r="K3" s="35" t="s">
        <v>10</v>
      </c>
    </row>
    <row r="4" s="2" customFormat="1" ht="21" customHeight="1" spans="1:11">
      <c r="A4" s="13"/>
      <c r="B4" s="14"/>
      <c r="C4" s="14"/>
      <c r="D4" s="14"/>
      <c r="E4" s="14"/>
      <c r="F4" s="14"/>
      <c r="G4" s="14" t="s">
        <v>11</v>
      </c>
      <c r="H4" s="14" t="s">
        <v>12</v>
      </c>
      <c r="I4" s="14"/>
      <c r="J4" s="14"/>
      <c r="K4" s="36"/>
    </row>
    <row r="5" ht="14.25" spans="1:8">
      <c r="A5" s="15" t="s">
        <v>33</v>
      </c>
      <c r="B5" s="15"/>
      <c r="C5" s="15"/>
      <c r="D5" s="15"/>
      <c r="E5" s="15"/>
      <c r="F5" s="15"/>
      <c r="G5" s="15"/>
      <c r="H5" s="15"/>
    </row>
    <row r="6" spans="1:11">
      <c r="A6" s="16" t="s">
        <v>90</v>
      </c>
      <c r="B6" s="16" t="s">
        <v>91</v>
      </c>
      <c r="C6" s="16" t="s">
        <v>92</v>
      </c>
      <c r="D6" s="16" t="str">
        <f>"0,6487"</f>
        <v>0,6487</v>
      </c>
      <c r="E6" s="16" t="s">
        <v>17</v>
      </c>
      <c r="F6" s="16" t="s">
        <v>93</v>
      </c>
      <c r="G6" s="17" t="s">
        <v>42</v>
      </c>
      <c r="H6" s="17" t="s">
        <v>94</v>
      </c>
      <c r="I6" s="37" t="str">
        <f>"2805,0"</f>
        <v>2805,0</v>
      </c>
      <c r="J6" s="38" t="str">
        <f>"1819,6035"</f>
        <v>1819,6035</v>
      </c>
      <c r="K6" s="16" t="s">
        <v>21</v>
      </c>
    </row>
    <row r="8" ht="14.25" spans="1:8">
      <c r="A8" s="18" t="s">
        <v>43</v>
      </c>
      <c r="B8" s="19"/>
      <c r="C8" s="19"/>
      <c r="D8" s="19"/>
      <c r="E8" s="19"/>
      <c r="F8" s="19"/>
      <c r="G8" s="19"/>
      <c r="H8" s="19"/>
    </row>
    <row r="9" spans="1:11">
      <c r="A9" s="16" t="s">
        <v>95</v>
      </c>
      <c r="B9" s="16" t="s">
        <v>96</v>
      </c>
      <c r="C9" s="16" t="s">
        <v>97</v>
      </c>
      <c r="D9" s="16" t="str">
        <f>"0,6354"</f>
        <v>0,6354</v>
      </c>
      <c r="E9" s="16" t="s">
        <v>17</v>
      </c>
      <c r="F9" s="16" t="s">
        <v>98</v>
      </c>
      <c r="G9" s="17" t="s">
        <v>99</v>
      </c>
      <c r="H9" s="17" t="s">
        <v>100</v>
      </c>
      <c r="I9" s="37" t="str">
        <f>"2295,0"</f>
        <v>2295,0</v>
      </c>
      <c r="J9" s="38" t="str">
        <f>"1458,2430"</f>
        <v>1458,2430</v>
      </c>
      <c r="K9" s="16" t="s">
        <v>21</v>
      </c>
    </row>
    <row r="11" ht="14.25" spans="5:5">
      <c r="E11" s="25" t="s">
        <v>49</v>
      </c>
    </row>
    <row r="12" ht="14.25" spans="5:5">
      <c r="E12" s="25" t="s">
        <v>50</v>
      </c>
    </row>
    <row r="13" ht="14.25" spans="5:5">
      <c r="E13" s="25" t="s">
        <v>51</v>
      </c>
    </row>
    <row r="14" ht="14.25" spans="5:5">
      <c r="E14" s="25" t="s">
        <v>52</v>
      </c>
    </row>
    <row r="15" ht="14.25" spans="5:5">
      <c r="E15" s="25" t="s">
        <v>52</v>
      </c>
    </row>
    <row r="16" ht="14.25" spans="5:5">
      <c r="E16" s="25" t="s">
        <v>53</v>
      </c>
    </row>
    <row r="17" ht="14.25" spans="5:5">
      <c r="E17" s="25"/>
    </row>
    <row r="19" ht="18.75" spans="1:2">
      <c r="A19" s="26" t="s">
        <v>54</v>
      </c>
      <c r="B19" s="26"/>
    </row>
    <row r="20" ht="14.25" spans="1:2">
      <c r="A20" s="27" t="s">
        <v>55</v>
      </c>
      <c r="B20" s="27"/>
    </row>
    <row r="21" ht="13.5" spans="1:2">
      <c r="A21" s="28"/>
      <c r="B21" s="29" t="s">
        <v>67</v>
      </c>
    </row>
    <row r="22" ht="13.5" spans="1:5">
      <c r="A22" s="30" t="s">
        <v>57</v>
      </c>
      <c r="B22" s="30" t="s">
        <v>58</v>
      </c>
      <c r="C22" s="30" t="s">
        <v>59</v>
      </c>
      <c r="D22" s="30" t="s">
        <v>60</v>
      </c>
      <c r="E22" s="30" t="s">
        <v>61</v>
      </c>
    </row>
    <row r="23" spans="1:5">
      <c r="A23" s="31" t="s">
        <v>101</v>
      </c>
      <c r="B23" s="3" t="s">
        <v>67</v>
      </c>
      <c r="C23" s="3" t="s">
        <v>77</v>
      </c>
      <c r="D23" s="3" t="s">
        <v>102</v>
      </c>
      <c r="E23" s="5" t="s">
        <v>103</v>
      </c>
    </row>
    <row r="24" spans="1:5">
      <c r="A24" s="31" t="s">
        <v>104</v>
      </c>
      <c r="B24" s="3" t="s">
        <v>67</v>
      </c>
      <c r="C24" s="3" t="s">
        <v>73</v>
      </c>
      <c r="D24" s="3" t="s">
        <v>105</v>
      </c>
      <c r="E24" s="5" t="s">
        <v>106</v>
      </c>
    </row>
  </sheetData>
  <mergeCells count="13">
    <mergeCell ref="G3:H3"/>
    <mergeCell ref="A5:H5"/>
    <mergeCell ref="A8:H8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196850393700787" right="0.47244094488189" top="0.433070866141732" bottom="0.47244094488189" header="0.511811023622047" footer="0.511811023622047"/>
  <pageSetup paperSize="1" scale="58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J2"/>
    </sheetView>
  </sheetViews>
  <sheetFormatPr defaultColWidth="9.1047619047619" defaultRowHeight="12"/>
  <cols>
    <col min="1" max="1" width="26.6666666666667" style="5" customWidth="1"/>
    <col min="2" max="2" width="26" style="49" customWidth="1"/>
    <col min="3" max="3" width="10.1047619047619" style="49" customWidth="1"/>
    <col min="4" max="4" width="11.8857142857143" style="49" customWidth="1"/>
    <col min="5" max="5" width="21.7809523809524" style="50" customWidth="1"/>
    <col min="6" max="6" width="20.552380952381" style="50" customWidth="1"/>
    <col min="7" max="9" width="4.55238095238095" style="49" customWidth="1"/>
    <col min="10" max="10" width="2.1047619047619" style="49" customWidth="1"/>
    <col min="11" max="11" width="7" style="49" customWidth="1"/>
    <col min="12" max="12" width="10" style="49" customWidth="1"/>
    <col min="13" max="13" width="1.55238095238095" style="49" customWidth="1"/>
    <col min="14" max="16384" width="9.1047619047619" style="49"/>
  </cols>
  <sheetData>
    <row r="1" ht="28.95" customHeight="1" spans="1:10">
      <c r="A1" s="51" t="s">
        <v>107</v>
      </c>
      <c r="B1" s="52"/>
      <c r="C1" s="52"/>
      <c r="D1" s="52"/>
      <c r="E1" s="52"/>
      <c r="F1" s="52"/>
      <c r="G1" s="52"/>
      <c r="H1" s="52"/>
      <c r="I1" s="52"/>
      <c r="J1" s="52"/>
    </row>
    <row r="2" ht="61.95" customHeight="1" spans="1:10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="2" customFormat="1" ht="12.75" customHeight="1" spans="1:11">
      <c r="A3" s="55" t="s">
        <v>1</v>
      </c>
      <c r="B3" s="56" t="s">
        <v>2</v>
      </c>
      <c r="C3" s="56" t="s">
        <v>108</v>
      </c>
      <c r="D3" s="57" t="s">
        <v>4</v>
      </c>
      <c r="E3" s="57" t="s">
        <v>5</v>
      </c>
      <c r="F3" s="57" t="s">
        <v>6</v>
      </c>
      <c r="G3" s="58" t="s">
        <v>109</v>
      </c>
      <c r="H3" s="59"/>
      <c r="I3" s="59"/>
      <c r="J3" s="59"/>
      <c r="K3" s="2" t="s">
        <v>110</v>
      </c>
    </row>
    <row r="4" s="2" customFormat="1" ht="21" customHeight="1" spans="1:10">
      <c r="A4" s="13"/>
      <c r="B4" s="14"/>
      <c r="C4" s="14"/>
      <c r="D4" s="14"/>
      <c r="E4" s="14"/>
      <c r="F4" s="14"/>
      <c r="G4" s="60">
        <v>1</v>
      </c>
      <c r="H4" s="60">
        <v>2</v>
      </c>
      <c r="I4" s="60">
        <v>3</v>
      </c>
      <c r="J4" s="60" t="s">
        <v>111</v>
      </c>
    </row>
    <row r="5" ht="14.25" spans="1:10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37" t="s">
        <v>112</v>
      </c>
      <c r="B6" s="61" t="s">
        <v>113</v>
      </c>
      <c r="C6" s="61" t="s">
        <v>114</v>
      </c>
      <c r="D6" s="61" t="str">
        <f>"0,6363"</f>
        <v>0,6363</v>
      </c>
      <c r="E6" s="62" t="s">
        <v>17</v>
      </c>
      <c r="F6" s="62" t="s">
        <v>115</v>
      </c>
      <c r="G6" s="61" t="s">
        <v>116</v>
      </c>
      <c r="H6" s="61" t="s">
        <v>117</v>
      </c>
      <c r="I6" s="61" t="s">
        <v>31</v>
      </c>
      <c r="J6" s="32"/>
      <c r="K6" s="61" t="s">
        <v>118</v>
      </c>
      <c r="L6" s="61" t="s">
        <v>119</v>
      </c>
      <c r="M6" s="61" t="s">
        <v>21</v>
      </c>
    </row>
    <row r="8" ht="14.25" spans="5:5">
      <c r="E8" s="25" t="s">
        <v>49</v>
      </c>
    </row>
    <row r="9" ht="14.25" spans="5:5">
      <c r="E9" s="25" t="s">
        <v>50</v>
      </c>
    </row>
    <row r="10" ht="14.25" spans="5:5">
      <c r="E10" s="25" t="s">
        <v>51</v>
      </c>
    </row>
    <row r="11" ht="14.25" spans="5:5">
      <c r="E11" s="25" t="s">
        <v>52</v>
      </c>
    </row>
    <row r="12" ht="14.25" spans="5:5">
      <c r="E12" s="25" t="s">
        <v>52</v>
      </c>
    </row>
    <row r="13" ht="14.25" spans="5:5">
      <c r="E13" s="25" t="s">
        <v>53</v>
      </c>
    </row>
    <row r="14" ht="14.25" spans="5:5">
      <c r="E14" s="25"/>
    </row>
    <row r="16" ht="18.75" spans="1:2">
      <c r="A16" s="63" t="s">
        <v>54</v>
      </c>
      <c r="B16" s="64"/>
    </row>
    <row r="17" ht="14.25" spans="1:2">
      <c r="A17" s="65" t="s">
        <v>55</v>
      </c>
      <c r="B17" s="18"/>
    </row>
    <row r="18" ht="13.5" spans="1:2">
      <c r="A18" s="66"/>
      <c r="B18" s="67" t="s">
        <v>120</v>
      </c>
    </row>
    <row r="19" ht="13.5" spans="1:5">
      <c r="A19" s="30" t="s">
        <v>57</v>
      </c>
      <c r="B19" s="30" t="s">
        <v>58</v>
      </c>
      <c r="C19" s="30" t="s">
        <v>59</v>
      </c>
      <c r="D19" s="30" t="s">
        <v>60</v>
      </c>
      <c r="E19" s="30" t="s">
        <v>61</v>
      </c>
    </row>
    <row r="20" spans="1:5">
      <c r="A20" s="68" t="s">
        <v>121</v>
      </c>
      <c r="B20" s="49" t="s">
        <v>122</v>
      </c>
      <c r="C20" s="49" t="s">
        <v>73</v>
      </c>
      <c r="D20" s="49" t="s">
        <v>31</v>
      </c>
      <c r="E20" s="5" t="s">
        <v>123</v>
      </c>
    </row>
  </sheetData>
  <mergeCells count="9">
    <mergeCell ref="G3:J3"/>
    <mergeCell ref="A5:J5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J2"/>
    </sheetView>
  </sheetViews>
  <sheetFormatPr defaultColWidth="9.1047619047619" defaultRowHeight="12"/>
  <cols>
    <col min="1" max="1" width="26.6666666666667" style="5" customWidth="1"/>
    <col min="2" max="2" width="26" style="49" customWidth="1"/>
    <col min="3" max="3" width="10.1047619047619" style="49" customWidth="1"/>
    <col min="4" max="4" width="11.8857142857143" style="49" customWidth="1"/>
    <col min="5" max="5" width="21.7809523809524" style="50" customWidth="1"/>
    <col min="6" max="6" width="20.552380952381" style="50" customWidth="1"/>
    <col min="7" max="8" width="4.55238095238095" style="49" customWidth="1"/>
    <col min="9" max="10" width="2.1047619047619" style="49" customWidth="1"/>
    <col min="11" max="11" width="7" style="49" customWidth="1"/>
    <col min="12" max="12" width="10" style="49" customWidth="1"/>
    <col min="13" max="13" width="1.55238095238095" style="49" customWidth="1"/>
    <col min="14" max="16384" width="9.1047619047619" style="49"/>
  </cols>
  <sheetData>
    <row r="1" ht="28.95" customHeight="1" spans="1:10">
      <c r="A1" s="51" t="s">
        <v>124</v>
      </c>
      <c r="B1" s="52"/>
      <c r="C1" s="52"/>
      <c r="D1" s="52"/>
      <c r="E1" s="52"/>
      <c r="F1" s="52"/>
      <c r="G1" s="52"/>
      <c r="H1" s="52"/>
      <c r="I1" s="52"/>
      <c r="J1" s="52"/>
    </row>
    <row r="2" ht="61.95" customHeight="1" spans="1:10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="2" customFormat="1" ht="12.75" customHeight="1" spans="1:11">
      <c r="A3" s="55" t="s">
        <v>1</v>
      </c>
      <c r="B3" s="56" t="s">
        <v>2</v>
      </c>
      <c r="C3" s="56" t="s">
        <v>108</v>
      </c>
      <c r="D3" s="57" t="s">
        <v>4</v>
      </c>
      <c r="E3" s="57" t="s">
        <v>5</v>
      </c>
      <c r="F3" s="57" t="s">
        <v>6</v>
      </c>
      <c r="G3" s="58" t="s">
        <v>109</v>
      </c>
      <c r="H3" s="59"/>
      <c r="I3" s="59"/>
      <c r="J3" s="59"/>
      <c r="K3" s="2" t="s">
        <v>110</v>
      </c>
    </row>
    <row r="4" s="2" customFormat="1" ht="21" customHeight="1" spans="1:10">
      <c r="A4" s="13"/>
      <c r="B4" s="14"/>
      <c r="C4" s="14"/>
      <c r="D4" s="14"/>
      <c r="E4" s="14"/>
      <c r="F4" s="14"/>
      <c r="G4" s="60">
        <v>1</v>
      </c>
      <c r="H4" s="60">
        <v>2</v>
      </c>
      <c r="I4" s="60">
        <v>3</v>
      </c>
      <c r="J4" s="60" t="s">
        <v>111</v>
      </c>
    </row>
    <row r="5" ht="14.25" spans="1:10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37" t="s">
        <v>112</v>
      </c>
      <c r="B6" s="61" t="s">
        <v>113</v>
      </c>
      <c r="C6" s="61" t="s">
        <v>114</v>
      </c>
      <c r="D6" s="61" t="str">
        <f>"0,6363"</f>
        <v>0,6363</v>
      </c>
      <c r="E6" s="62" t="s">
        <v>17</v>
      </c>
      <c r="F6" s="62" t="s">
        <v>115</v>
      </c>
      <c r="G6" s="61" t="s">
        <v>125</v>
      </c>
      <c r="H6" s="61" t="s">
        <v>126</v>
      </c>
      <c r="I6" s="32"/>
      <c r="J6" s="32"/>
      <c r="K6" s="61" t="s">
        <v>127</v>
      </c>
      <c r="L6" s="61" t="s">
        <v>128</v>
      </c>
      <c r="M6" s="61" t="s">
        <v>21</v>
      </c>
    </row>
    <row r="8" ht="14.25" spans="5:5">
      <c r="E8" s="25" t="s">
        <v>49</v>
      </c>
    </row>
    <row r="9" ht="14.25" spans="5:5">
      <c r="E9" s="25" t="s">
        <v>50</v>
      </c>
    </row>
    <row r="10" ht="14.25" spans="5:5">
      <c r="E10" s="25" t="s">
        <v>51</v>
      </c>
    </row>
    <row r="11" ht="14.25" spans="5:5">
      <c r="E11" s="25" t="s">
        <v>52</v>
      </c>
    </row>
    <row r="12" ht="14.25" spans="5:5">
      <c r="E12" s="25" t="s">
        <v>52</v>
      </c>
    </row>
    <row r="13" ht="14.25" spans="5:5">
      <c r="E13" s="25" t="s">
        <v>53</v>
      </c>
    </row>
    <row r="14" ht="14.25" spans="5:5">
      <c r="E14" s="25"/>
    </row>
    <row r="16" ht="18.75" spans="1:2">
      <c r="A16" s="63" t="s">
        <v>54</v>
      </c>
      <c r="B16" s="64"/>
    </row>
    <row r="17" ht="14.25" spans="1:2">
      <c r="A17" s="65" t="s">
        <v>55</v>
      </c>
      <c r="B17" s="18"/>
    </row>
    <row r="18" ht="13.5" spans="1:2">
      <c r="A18" s="66"/>
      <c r="B18" s="67" t="s">
        <v>120</v>
      </c>
    </row>
    <row r="19" ht="13.5" spans="1:5">
      <c r="A19" s="30" t="s">
        <v>57</v>
      </c>
      <c r="B19" s="30" t="s">
        <v>58</v>
      </c>
      <c r="C19" s="30" t="s">
        <v>59</v>
      </c>
      <c r="D19" s="30" t="s">
        <v>60</v>
      </c>
      <c r="E19" s="30" t="s">
        <v>61</v>
      </c>
    </row>
    <row r="20" spans="1:5">
      <c r="A20" s="68" t="s">
        <v>121</v>
      </c>
      <c r="B20" s="49" t="s">
        <v>122</v>
      </c>
      <c r="C20" s="49" t="s">
        <v>73</v>
      </c>
      <c r="D20" s="49" t="s">
        <v>126</v>
      </c>
      <c r="E20" s="5" t="s">
        <v>129</v>
      </c>
    </row>
  </sheetData>
  <mergeCells count="9">
    <mergeCell ref="G3:J3"/>
    <mergeCell ref="A5:J5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J2"/>
    </sheetView>
  </sheetViews>
  <sheetFormatPr defaultColWidth="9.1047619047619" defaultRowHeight="12"/>
  <cols>
    <col min="1" max="1" width="26.6666666666667" style="5" customWidth="1"/>
    <col min="2" max="2" width="26" style="49" customWidth="1"/>
    <col min="3" max="3" width="10.1047619047619" style="49" customWidth="1"/>
    <col min="4" max="4" width="11.8857142857143" style="49" customWidth="1"/>
    <col min="5" max="5" width="21.7809523809524" style="50" customWidth="1"/>
    <col min="6" max="6" width="20.552380952381" style="50" customWidth="1"/>
    <col min="7" max="9" width="4.55238095238095" style="49" customWidth="1"/>
    <col min="10" max="10" width="2.1047619047619" style="49" customWidth="1"/>
    <col min="11" max="11" width="7" style="49" customWidth="1"/>
    <col min="12" max="12" width="10" style="49" customWidth="1"/>
    <col min="13" max="13" width="1.55238095238095" style="49" customWidth="1"/>
    <col min="14" max="16384" width="9.1047619047619" style="49"/>
  </cols>
  <sheetData>
    <row r="1" ht="28.95" customHeight="1" spans="1:10">
      <c r="A1" s="51" t="s">
        <v>130</v>
      </c>
      <c r="B1" s="52"/>
      <c r="C1" s="52"/>
      <c r="D1" s="52"/>
      <c r="E1" s="52"/>
      <c r="F1" s="52"/>
      <c r="G1" s="52"/>
      <c r="H1" s="52"/>
      <c r="I1" s="52"/>
      <c r="J1" s="52"/>
    </row>
    <row r="2" ht="61.95" customHeight="1" spans="1:10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="2" customFormat="1" ht="12.75" customHeight="1" spans="1:11">
      <c r="A3" s="55" t="s">
        <v>1</v>
      </c>
      <c r="B3" s="56" t="s">
        <v>2</v>
      </c>
      <c r="C3" s="56" t="s">
        <v>108</v>
      </c>
      <c r="D3" s="57" t="s">
        <v>4</v>
      </c>
      <c r="E3" s="57" t="s">
        <v>5</v>
      </c>
      <c r="F3" s="57" t="s">
        <v>6</v>
      </c>
      <c r="G3" s="58" t="s">
        <v>109</v>
      </c>
      <c r="H3" s="59"/>
      <c r="I3" s="59"/>
      <c r="J3" s="59"/>
      <c r="K3" s="2" t="s">
        <v>110</v>
      </c>
    </row>
    <row r="4" s="2" customFormat="1" ht="21" customHeight="1" spans="1:10">
      <c r="A4" s="13"/>
      <c r="B4" s="14"/>
      <c r="C4" s="14"/>
      <c r="D4" s="14"/>
      <c r="E4" s="14"/>
      <c r="F4" s="14"/>
      <c r="G4" s="60">
        <v>1</v>
      </c>
      <c r="H4" s="60">
        <v>2</v>
      </c>
      <c r="I4" s="60">
        <v>3</v>
      </c>
      <c r="J4" s="60" t="s">
        <v>111</v>
      </c>
    </row>
    <row r="5" ht="14.25" spans="1:10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37" t="s">
        <v>112</v>
      </c>
      <c r="B6" s="61" t="s">
        <v>113</v>
      </c>
      <c r="C6" s="61" t="s">
        <v>114</v>
      </c>
      <c r="D6" s="61" t="str">
        <f>"0,6363"</f>
        <v>0,6363</v>
      </c>
      <c r="E6" s="62" t="s">
        <v>17</v>
      </c>
      <c r="F6" s="62" t="s">
        <v>115</v>
      </c>
      <c r="G6" s="61" t="s">
        <v>131</v>
      </c>
      <c r="H6" s="61" t="s">
        <v>132</v>
      </c>
      <c r="I6" s="32" t="s">
        <v>133</v>
      </c>
      <c r="J6" s="32"/>
      <c r="K6" s="61" t="s">
        <v>134</v>
      </c>
      <c r="L6" s="61" t="s">
        <v>135</v>
      </c>
      <c r="M6" s="61" t="s">
        <v>21</v>
      </c>
    </row>
    <row r="8" ht="14.25" spans="5:5">
      <c r="E8" s="25" t="s">
        <v>49</v>
      </c>
    </row>
    <row r="9" ht="14.25" spans="5:5">
      <c r="E9" s="25" t="s">
        <v>50</v>
      </c>
    </row>
    <row r="10" ht="14.25" spans="5:5">
      <c r="E10" s="25" t="s">
        <v>51</v>
      </c>
    </row>
    <row r="11" ht="14.25" spans="5:5">
      <c r="E11" s="25" t="s">
        <v>52</v>
      </c>
    </row>
    <row r="12" ht="14.25" spans="5:5">
      <c r="E12" s="25" t="s">
        <v>52</v>
      </c>
    </row>
    <row r="13" ht="14.25" spans="5:5">
      <c r="E13" s="25" t="s">
        <v>53</v>
      </c>
    </row>
    <row r="14" ht="14.25" spans="5:5">
      <c r="E14" s="25"/>
    </row>
    <row r="16" ht="18.75" spans="1:2">
      <c r="A16" s="63" t="s">
        <v>54</v>
      </c>
      <c r="B16" s="64"/>
    </row>
    <row r="17" ht="14.25" spans="1:2">
      <c r="A17" s="65" t="s">
        <v>55</v>
      </c>
      <c r="B17" s="18"/>
    </row>
    <row r="18" ht="13.5" spans="1:2">
      <c r="A18" s="66"/>
      <c r="B18" s="67" t="s">
        <v>120</v>
      </c>
    </row>
    <row r="19" ht="13.5" spans="1:5">
      <c r="A19" s="30" t="s">
        <v>57</v>
      </c>
      <c r="B19" s="30" t="s">
        <v>58</v>
      </c>
      <c r="C19" s="30" t="s">
        <v>59</v>
      </c>
      <c r="D19" s="30" t="s">
        <v>60</v>
      </c>
      <c r="E19" s="30" t="s">
        <v>61</v>
      </c>
    </row>
    <row r="20" spans="1:5">
      <c r="A20" s="68" t="s">
        <v>121</v>
      </c>
      <c r="B20" s="49" t="s">
        <v>122</v>
      </c>
      <c r="C20" s="49" t="s">
        <v>73</v>
      </c>
      <c r="D20" s="49" t="s">
        <v>132</v>
      </c>
      <c r="E20" s="5" t="s">
        <v>136</v>
      </c>
    </row>
  </sheetData>
  <mergeCells count="9">
    <mergeCell ref="G3:J3"/>
    <mergeCell ref="A5:J5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selection activeCell="A1" sqref="A1:J2"/>
    </sheetView>
  </sheetViews>
  <sheetFormatPr defaultColWidth="9.1047619047619" defaultRowHeight="12"/>
  <cols>
    <col min="1" max="1" width="26.6666666666667" style="5" customWidth="1"/>
    <col min="2" max="2" width="26" style="49" customWidth="1"/>
    <col min="3" max="3" width="10.1047619047619" style="49" customWidth="1"/>
    <col min="4" max="4" width="11.8857142857143" style="49" customWidth="1"/>
    <col min="5" max="5" width="21.7809523809524" style="50" customWidth="1"/>
    <col min="6" max="6" width="20.552380952381" style="50" customWidth="1"/>
    <col min="7" max="9" width="5.55238095238095" style="49" customWidth="1"/>
    <col min="10" max="10" width="4.55238095238095" style="49" customWidth="1"/>
    <col min="11" max="11" width="8" style="49" customWidth="1"/>
    <col min="12" max="12" width="11" style="49" customWidth="1"/>
    <col min="13" max="13" width="20.2190476190476" style="49" customWidth="1"/>
    <col min="14" max="16384" width="9.1047619047619" style="49"/>
  </cols>
  <sheetData>
    <row r="1" ht="28.95" customHeight="1" spans="1:10">
      <c r="A1" s="51" t="s">
        <v>137</v>
      </c>
      <c r="B1" s="52"/>
      <c r="C1" s="52"/>
      <c r="D1" s="52"/>
      <c r="E1" s="52"/>
      <c r="F1" s="52"/>
      <c r="G1" s="52"/>
      <c r="H1" s="52"/>
      <c r="I1" s="52"/>
      <c r="J1" s="52"/>
    </row>
    <row r="2" ht="61.95" customHeight="1" spans="1:10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="2" customFormat="1" ht="12.75" customHeight="1" spans="1:11">
      <c r="A3" s="55" t="s">
        <v>1</v>
      </c>
      <c r="B3" s="56" t="s">
        <v>2</v>
      </c>
      <c r="C3" s="56" t="s">
        <v>108</v>
      </c>
      <c r="D3" s="57" t="s">
        <v>4</v>
      </c>
      <c r="E3" s="57" t="s">
        <v>5</v>
      </c>
      <c r="F3" s="57" t="s">
        <v>6</v>
      </c>
      <c r="G3" s="58" t="s">
        <v>109</v>
      </c>
      <c r="H3" s="59"/>
      <c r="I3" s="59"/>
      <c r="J3" s="59"/>
      <c r="K3" s="2" t="s">
        <v>110</v>
      </c>
    </row>
    <row r="4" s="2" customFormat="1" ht="21" customHeight="1" spans="1:10">
      <c r="A4" s="13"/>
      <c r="B4" s="14"/>
      <c r="C4" s="14"/>
      <c r="D4" s="14"/>
      <c r="E4" s="14"/>
      <c r="F4" s="14"/>
      <c r="G4" s="60">
        <v>1</v>
      </c>
      <c r="H4" s="60">
        <v>2</v>
      </c>
      <c r="I4" s="60">
        <v>3</v>
      </c>
      <c r="J4" s="60" t="s">
        <v>111</v>
      </c>
    </row>
    <row r="5" ht="14.25" spans="1:10">
      <c r="A5" s="15" t="s">
        <v>138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39" t="s">
        <v>139</v>
      </c>
      <c r="B6" s="69" t="s">
        <v>140</v>
      </c>
      <c r="C6" s="69" t="s">
        <v>141</v>
      </c>
      <c r="D6" s="69" t="str">
        <f>"1,0514"</f>
        <v>1,0514</v>
      </c>
      <c r="E6" s="70" t="s">
        <v>17</v>
      </c>
      <c r="F6" s="70" t="s">
        <v>18</v>
      </c>
      <c r="G6" s="69" t="s">
        <v>116</v>
      </c>
      <c r="H6" s="69" t="s">
        <v>117</v>
      </c>
      <c r="I6" s="21" t="s">
        <v>37</v>
      </c>
      <c r="J6" s="21"/>
      <c r="K6" s="69" t="s">
        <v>142</v>
      </c>
      <c r="L6" s="69" t="s">
        <v>143</v>
      </c>
      <c r="M6" s="69" t="s">
        <v>144</v>
      </c>
    </row>
    <row r="7" spans="1:13">
      <c r="A7" s="41" t="s">
        <v>145</v>
      </c>
      <c r="B7" s="71" t="s">
        <v>146</v>
      </c>
      <c r="C7" s="71" t="s">
        <v>147</v>
      </c>
      <c r="D7" s="71" t="str">
        <f>"1,0248"</f>
        <v>1,0248</v>
      </c>
      <c r="E7" s="72" t="s">
        <v>17</v>
      </c>
      <c r="F7" s="72" t="s">
        <v>18</v>
      </c>
      <c r="G7" s="71" t="s">
        <v>148</v>
      </c>
      <c r="H7" s="71" t="s">
        <v>149</v>
      </c>
      <c r="I7" s="71" t="s">
        <v>150</v>
      </c>
      <c r="J7" s="71" t="s">
        <v>116</v>
      </c>
      <c r="K7" s="71" t="s">
        <v>151</v>
      </c>
      <c r="L7" s="71" t="s">
        <v>152</v>
      </c>
      <c r="M7" s="71" t="s">
        <v>21</v>
      </c>
    </row>
    <row r="9" ht="14.25" spans="1:10">
      <c r="A9" s="18" t="s">
        <v>43</v>
      </c>
      <c r="B9" s="19"/>
      <c r="C9" s="19"/>
      <c r="D9" s="19"/>
      <c r="E9" s="19"/>
      <c r="F9" s="19"/>
      <c r="G9" s="19"/>
      <c r="H9" s="19"/>
      <c r="I9" s="19"/>
      <c r="J9" s="19"/>
    </row>
    <row r="10" spans="1:13">
      <c r="A10" s="39" t="s">
        <v>153</v>
      </c>
      <c r="B10" s="69" t="s">
        <v>154</v>
      </c>
      <c r="C10" s="69" t="s">
        <v>155</v>
      </c>
      <c r="D10" s="69" t="str">
        <f>"0,6259"</f>
        <v>0,6259</v>
      </c>
      <c r="E10" s="70" t="s">
        <v>17</v>
      </c>
      <c r="F10" s="70" t="s">
        <v>18</v>
      </c>
      <c r="G10" s="69" t="s">
        <v>156</v>
      </c>
      <c r="H10" s="69" t="s">
        <v>157</v>
      </c>
      <c r="I10" s="21" t="s">
        <v>158</v>
      </c>
      <c r="J10" s="21"/>
      <c r="K10" s="69" t="s">
        <v>159</v>
      </c>
      <c r="L10" s="69" t="s">
        <v>160</v>
      </c>
      <c r="M10" s="69" t="s">
        <v>161</v>
      </c>
    </row>
    <row r="11" spans="1:13">
      <c r="A11" s="47" t="s">
        <v>162</v>
      </c>
      <c r="B11" s="73" t="s">
        <v>163</v>
      </c>
      <c r="C11" s="73" t="s">
        <v>164</v>
      </c>
      <c r="D11" s="73" t="str">
        <f>"0,6299"</f>
        <v>0,6299</v>
      </c>
      <c r="E11" s="74" t="s">
        <v>17</v>
      </c>
      <c r="F11" s="74" t="s">
        <v>18</v>
      </c>
      <c r="G11" s="73" t="s">
        <v>165</v>
      </c>
      <c r="H11" s="73" t="s">
        <v>166</v>
      </c>
      <c r="I11" s="45" t="s">
        <v>167</v>
      </c>
      <c r="J11" s="45"/>
      <c r="K11" s="73" t="s">
        <v>168</v>
      </c>
      <c r="L11" s="73" t="s">
        <v>169</v>
      </c>
      <c r="M11" s="73" t="s">
        <v>21</v>
      </c>
    </row>
    <row r="12" spans="1:13">
      <c r="A12" s="41" t="s">
        <v>112</v>
      </c>
      <c r="B12" s="71" t="s">
        <v>113</v>
      </c>
      <c r="C12" s="71" t="s">
        <v>114</v>
      </c>
      <c r="D12" s="71" t="str">
        <f>"0,6363"</f>
        <v>0,6363</v>
      </c>
      <c r="E12" s="72" t="s">
        <v>17</v>
      </c>
      <c r="F12" s="72" t="s">
        <v>115</v>
      </c>
      <c r="G12" s="71" t="s">
        <v>170</v>
      </c>
      <c r="H12" s="71" t="s">
        <v>156</v>
      </c>
      <c r="I12" s="24" t="s">
        <v>171</v>
      </c>
      <c r="J12" s="24"/>
      <c r="K12" s="71" t="s">
        <v>172</v>
      </c>
      <c r="L12" s="71" t="s">
        <v>173</v>
      </c>
      <c r="M12" s="71" t="s">
        <v>21</v>
      </c>
    </row>
    <row r="14" ht="14.25" spans="5:5">
      <c r="E14" s="25" t="s">
        <v>49</v>
      </c>
    </row>
    <row r="15" ht="14.25" spans="5:5">
      <c r="E15" s="25" t="s">
        <v>50</v>
      </c>
    </row>
    <row r="16" ht="14.25" spans="5:5">
      <c r="E16" s="25" t="s">
        <v>51</v>
      </c>
    </row>
    <row r="17" ht="14.25" spans="5:5">
      <c r="E17" s="25" t="s">
        <v>52</v>
      </c>
    </row>
    <row r="18" ht="14.25" spans="5:5">
      <c r="E18" s="25" t="s">
        <v>52</v>
      </c>
    </row>
    <row r="19" ht="14.25" spans="5:5">
      <c r="E19" s="25" t="s">
        <v>53</v>
      </c>
    </row>
    <row r="20" ht="14.25" spans="5:5">
      <c r="E20" s="25"/>
    </row>
    <row r="22" ht="18.75" spans="1:2">
      <c r="A22" s="63" t="s">
        <v>54</v>
      </c>
      <c r="B22" s="64"/>
    </row>
    <row r="23" ht="14.25" spans="1:2">
      <c r="A23" s="65" t="s">
        <v>174</v>
      </c>
      <c r="B23" s="18"/>
    </row>
    <row r="24" ht="13.5" spans="1:2">
      <c r="A24" s="66"/>
      <c r="B24" s="67" t="s">
        <v>67</v>
      </c>
    </row>
    <row r="25" ht="13.5" spans="1:5">
      <c r="A25" s="30" t="s">
        <v>57</v>
      </c>
      <c r="B25" s="30" t="s">
        <v>58</v>
      </c>
      <c r="C25" s="30" t="s">
        <v>59</v>
      </c>
      <c r="D25" s="30" t="s">
        <v>60</v>
      </c>
      <c r="E25" s="30" t="s">
        <v>61</v>
      </c>
    </row>
    <row r="26" spans="1:5">
      <c r="A26" s="68" t="s">
        <v>175</v>
      </c>
      <c r="B26" s="49" t="s">
        <v>67</v>
      </c>
      <c r="C26" s="49" t="s">
        <v>176</v>
      </c>
      <c r="D26" s="49" t="s">
        <v>117</v>
      </c>
      <c r="E26" s="5" t="s">
        <v>177</v>
      </c>
    </row>
    <row r="27" spans="1:5">
      <c r="A27" s="68" t="s">
        <v>178</v>
      </c>
      <c r="B27" s="49" t="s">
        <v>67</v>
      </c>
      <c r="C27" s="49" t="s">
        <v>176</v>
      </c>
      <c r="D27" s="49" t="s">
        <v>116</v>
      </c>
      <c r="E27" s="5" t="s">
        <v>179</v>
      </c>
    </row>
    <row r="30" ht="14.25" spans="1:2">
      <c r="A30" s="65" t="s">
        <v>55</v>
      </c>
      <c r="B30" s="18"/>
    </row>
    <row r="31" ht="13.5" spans="1:2">
      <c r="A31" s="66"/>
      <c r="B31" s="67" t="s">
        <v>67</v>
      </c>
    </row>
    <row r="32" ht="13.5" spans="1:5">
      <c r="A32" s="30" t="s">
        <v>57</v>
      </c>
      <c r="B32" s="30" t="s">
        <v>58</v>
      </c>
      <c r="C32" s="30" t="s">
        <v>59</v>
      </c>
      <c r="D32" s="30" t="s">
        <v>60</v>
      </c>
      <c r="E32" s="30" t="s">
        <v>61</v>
      </c>
    </row>
    <row r="33" spans="1:5">
      <c r="A33" s="68" t="s">
        <v>180</v>
      </c>
      <c r="B33" s="49" t="s">
        <v>67</v>
      </c>
      <c r="C33" s="49" t="s">
        <v>73</v>
      </c>
      <c r="D33" s="49" t="s">
        <v>157</v>
      </c>
      <c r="E33" s="5" t="s">
        <v>181</v>
      </c>
    </row>
    <row r="34" spans="1:5">
      <c r="A34" s="68" t="s">
        <v>182</v>
      </c>
      <c r="B34" s="49" t="s">
        <v>67</v>
      </c>
      <c r="C34" s="49" t="s">
        <v>73</v>
      </c>
      <c r="D34" s="49" t="s">
        <v>166</v>
      </c>
      <c r="E34" s="5" t="s">
        <v>183</v>
      </c>
    </row>
    <row r="36" ht="13.5" spans="1:2">
      <c r="A36" s="66"/>
      <c r="B36" s="67" t="s">
        <v>120</v>
      </c>
    </row>
    <row r="37" ht="13.5" spans="1:5">
      <c r="A37" s="30" t="s">
        <v>57</v>
      </c>
      <c r="B37" s="30" t="s">
        <v>58</v>
      </c>
      <c r="C37" s="30" t="s">
        <v>59</v>
      </c>
      <c r="D37" s="30" t="s">
        <v>60</v>
      </c>
      <c r="E37" s="30" t="s">
        <v>61</v>
      </c>
    </row>
    <row r="38" spans="1:5">
      <c r="A38" s="68" t="s">
        <v>121</v>
      </c>
      <c r="B38" s="49" t="s">
        <v>122</v>
      </c>
      <c r="C38" s="49" t="s">
        <v>73</v>
      </c>
      <c r="D38" s="49" t="s">
        <v>156</v>
      </c>
      <c r="E38" s="5" t="s">
        <v>184</v>
      </c>
    </row>
  </sheetData>
  <mergeCells count="10">
    <mergeCell ref="G3:J3"/>
    <mergeCell ref="A5:J5"/>
    <mergeCell ref="A9:J9"/>
    <mergeCell ref="A3:A4"/>
    <mergeCell ref="B3:B4"/>
    <mergeCell ref="C3:C4"/>
    <mergeCell ref="D3:D4"/>
    <mergeCell ref="E3:E4"/>
    <mergeCell ref="F3:F4"/>
    <mergeCell ref="A1:J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workbookViewId="0">
      <selection activeCell="A1" sqref="A1:J2"/>
    </sheetView>
  </sheetViews>
  <sheetFormatPr defaultColWidth="9.1047619047619" defaultRowHeight="12"/>
  <cols>
    <col min="1" max="1" width="26.6666666666667" style="5" customWidth="1"/>
    <col min="2" max="2" width="26" style="49" customWidth="1"/>
    <col min="3" max="3" width="10.1047619047619" style="49" customWidth="1"/>
    <col min="4" max="4" width="11.8857142857143" style="49" customWidth="1"/>
    <col min="5" max="5" width="21.7809523809524" style="50" customWidth="1"/>
    <col min="6" max="6" width="20.552380952381" style="50" customWidth="1"/>
    <col min="7" max="9" width="4.55238095238095" style="49" customWidth="1"/>
    <col min="10" max="10" width="2.1047619047619" style="49" customWidth="1"/>
    <col min="11" max="11" width="7" style="49" customWidth="1"/>
    <col min="12" max="12" width="10" style="49" customWidth="1"/>
    <col min="13" max="13" width="1.55238095238095" style="49" customWidth="1"/>
    <col min="14" max="16384" width="9.1047619047619" style="49"/>
  </cols>
  <sheetData>
    <row r="1" ht="28.95" customHeight="1" spans="1:10">
      <c r="A1" s="51" t="s">
        <v>185</v>
      </c>
      <c r="B1" s="52"/>
      <c r="C1" s="52"/>
      <c r="D1" s="52"/>
      <c r="E1" s="52"/>
      <c r="F1" s="52"/>
      <c r="G1" s="52"/>
      <c r="H1" s="52"/>
      <c r="I1" s="52"/>
      <c r="J1" s="52"/>
    </row>
    <row r="2" ht="61.95" customHeight="1" spans="1:10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="2" customFormat="1" ht="12.75" customHeight="1" spans="1:11">
      <c r="A3" s="55" t="s">
        <v>1</v>
      </c>
      <c r="B3" s="56" t="s">
        <v>2</v>
      </c>
      <c r="C3" s="56" t="s">
        <v>108</v>
      </c>
      <c r="D3" s="57" t="s">
        <v>4</v>
      </c>
      <c r="E3" s="57" t="s">
        <v>5</v>
      </c>
      <c r="F3" s="57" t="s">
        <v>6</v>
      </c>
      <c r="G3" s="58" t="s">
        <v>109</v>
      </c>
      <c r="H3" s="59"/>
      <c r="I3" s="59"/>
      <c r="J3" s="59"/>
      <c r="K3" s="2" t="s">
        <v>110</v>
      </c>
    </row>
    <row r="4" s="2" customFormat="1" ht="21" customHeight="1" spans="1:10">
      <c r="A4" s="13"/>
      <c r="B4" s="14"/>
      <c r="C4" s="14"/>
      <c r="D4" s="14"/>
      <c r="E4" s="14"/>
      <c r="F4" s="14"/>
      <c r="G4" s="60">
        <v>1</v>
      </c>
      <c r="H4" s="60">
        <v>2</v>
      </c>
      <c r="I4" s="60">
        <v>3</v>
      </c>
      <c r="J4" s="60" t="s">
        <v>111</v>
      </c>
    </row>
    <row r="5" ht="14.25" spans="1:10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37" t="s">
        <v>112</v>
      </c>
      <c r="B6" s="61" t="s">
        <v>113</v>
      </c>
      <c r="C6" s="61" t="s">
        <v>114</v>
      </c>
      <c r="D6" s="61" t="str">
        <f>"0,6363"</f>
        <v>0,6363</v>
      </c>
      <c r="E6" s="62" t="s">
        <v>17</v>
      </c>
      <c r="F6" s="62" t="s">
        <v>115</v>
      </c>
      <c r="G6" s="61" t="s">
        <v>186</v>
      </c>
      <c r="H6" s="61" t="s">
        <v>187</v>
      </c>
      <c r="I6" s="61" t="s">
        <v>188</v>
      </c>
      <c r="J6" s="32"/>
      <c r="K6" s="61" t="s">
        <v>189</v>
      </c>
      <c r="L6" s="61" t="s">
        <v>190</v>
      </c>
      <c r="M6" s="61" t="s">
        <v>21</v>
      </c>
    </row>
    <row r="8" ht="14.25" spans="5:5">
      <c r="E8" s="25" t="s">
        <v>49</v>
      </c>
    </row>
    <row r="9" ht="14.25" spans="5:5">
      <c r="E9" s="25" t="s">
        <v>50</v>
      </c>
    </row>
    <row r="10" ht="14.25" spans="5:5">
      <c r="E10" s="25" t="s">
        <v>51</v>
      </c>
    </row>
    <row r="11" ht="14.25" spans="5:5">
      <c r="E11" s="25" t="s">
        <v>52</v>
      </c>
    </row>
    <row r="12" ht="14.25" spans="5:5">
      <c r="E12" s="25" t="s">
        <v>52</v>
      </c>
    </row>
    <row r="13" ht="14.25" spans="5:5">
      <c r="E13" s="25" t="s">
        <v>53</v>
      </c>
    </row>
    <row r="14" ht="14.25" spans="5:5">
      <c r="E14" s="25"/>
    </row>
    <row r="16" ht="18.75" spans="1:2">
      <c r="A16" s="63" t="s">
        <v>54</v>
      </c>
      <c r="B16" s="64"/>
    </row>
    <row r="17" ht="14.25" spans="1:2">
      <c r="A17" s="65" t="s">
        <v>55</v>
      </c>
      <c r="B17" s="18"/>
    </row>
    <row r="18" ht="13.5" spans="1:2">
      <c r="A18" s="66"/>
      <c r="B18" s="67" t="s">
        <v>120</v>
      </c>
    </row>
    <row r="19" ht="13.5" spans="1:5">
      <c r="A19" s="30" t="s">
        <v>57</v>
      </c>
      <c r="B19" s="30" t="s">
        <v>58</v>
      </c>
      <c r="C19" s="30" t="s">
        <v>59</v>
      </c>
      <c r="D19" s="30" t="s">
        <v>60</v>
      </c>
      <c r="E19" s="30" t="s">
        <v>61</v>
      </c>
    </row>
    <row r="20" spans="1:5">
      <c r="A20" s="68" t="s">
        <v>121</v>
      </c>
      <c r="B20" s="49" t="s">
        <v>122</v>
      </c>
      <c r="C20" s="49" t="s">
        <v>73</v>
      </c>
      <c r="D20" s="49" t="s">
        <v>188</v>
      </c>
      <c r="E20" s="5" t="s">
        <v>191</v>
      </c>
    </row>
  </sheetData>
  <mergeCells count="9">
    <mergeCell ref="G3:J3"/>
    <mergeCell ref="A5:J5"/>
    <mergeCell ref="A3:A4"/>
    <mergeCell ref="B3:B4"/>
    <mergeCell ref="C3:C4"/>
    <mergeCell ref="D3:D4"/>
    <mergeCell ref="E3:E4"/>
    <mergeCell ref="F3:F4"/>
    <mergeCell ref="A1:J2"/>
  </mergeCells>
  <pageMargins left="0.196850393700787" right="0.47244094488189" top="0.433070866141732" bottom="0.47244094488189" header="0.511811023622047" footer="0.511811023622047"/>
  <pageSetup paperSize="1" scale="58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9.8857142857143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32.7809523809524" style="3" customWidth="1"/>
    <col min="7" max="10" width="4.55238095238095" style="4" customWidth="1"/>
    <col min="11" max="11" width="7.66666666666667" style="5" customWidth="1"/>
    <col min="12" max="12" width="7.55238095238095" style="1" customWidth="1"/>
    <col min="13" max="13" width="8.33333333333333" style="3" customWidth="1"/>
    <col min="14" max="16384" width="9.1047619047619" style="4"/>
  </cols>
  <sheetData>
    <row r="1" s="1" customFormat="1" ht="28.95" customHeight="1" spans="1:13">
      <c r="A1" s="6" t="s">
        <v>192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193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20" t="s">
        <v>14</v>
      </c>
      <c r="B6" s="20" t="s">
        <v>15</v>
      </c>
      <c r="C6" s="20" t="s">
        <v>16</v>
      </c>
      <c r="D6" s="20" t="str">
        <f>"0,7722"</f>
        <v>0,7722</v>
      </c>
      <c r="E6" s="20" t="s">
        <v>17</v>
      </c>
      <c r="F6" s="20" t="s">
        <v>18</v>
      </c>
      <c r="G6" s="21" t="s">
        <v>195</v>
      </c>
      <c r="H6" s="22" t="s">
        <v>196</v>
      </c>
      <c r="I6" s="22" t="s">
        <v>148</v>
      </c>
      <c r="J6" s="21"/>
      <c r="K6" s="39" t="str">
        <f>"45,0"</f>
        <v>45,0</v>
      </c>
      <c r="L6" s="40" t="str">
        <f>"34,7512"</f>
        <v>34,7512</v>
      </c>
      <c r="M6" s="20" t="s">
        <v>21</v>
      </c>
    </row>
    <row r="7" spans="1:13">
      <c r="A7" s="23" t="s">
        <v>197</v>
      </c>
      <c r="B7" s="23" t="s">
        <v>198</v>
      </c>
      <c r="C7" s="23" t="s">
        <v>199</v>
      </c>
      <c r="D7" s="23" t="str">
        <f>"0,7541"</f>
        <v>0,7541</v>
      </c>
      <c r="E7" s="23" t="s">
        <v>17</v>
      </c>
      <c r="F7" s="23" t="s">
        <v>18</v>
      </c>
      <c r="G7" s="46" t="s">
        <v>149</v>
      </c>
      <c r="H7" s="46" t="s">
        <v>200</v>
      </c>
      <c r="I7" s="24"/>
      <c r="J7" s="24"/>
      <c r="K7" s="41" t="str">
        <f>"52,5"</f>
        <v>52,5</v>
      </c>
      <c r="L7" s="42" t="str">
        <f>"51,1144"</f>
        <v>51,1144</v>
      </c>
      <c r="M7" s="23" t="s">
        <v>21</v>
      </c>
    </row>
    <row r="9" ht="14.25" spans="1:10">
      <c r="A9" s="18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3">
      <c r="A10" s="20" t="s">
        <v>201</v>
      </c>
      <c r="B10" s="20" t="s">
        <v>202</v>
      </c>
      <c r="C10" s="20" t="s">
        <v>203</v>
      </c>
      <c r="D10" s="20" t="str">
        <f>"0,7117"</f>
        <v>0,7117</v>
      </c>
      <c r="E10" s="20" t="s">
        <v>17</v>
      </c>
      <c r="F10" s="20" t="s">
        <v>204</v>
      </c>
      <c r="G10" s="22" t="s">
        <v>149</v>
      </c>
      <c r="H10" s="22" t="s">
        <v>200</v>
      </c>
      <c r="I10" s="22" t="s">
        <v>150</v>
      </c>
      <c r="J10" s="21"/>
      <c r="K10" s="39" t="str">
        <f>"55,0"</f>
        <v>55,0</v>
      </c>
      <c r="L10" s="40" t="str">
        <f>"39,5349"</f>
        <v>39,5349</v>
      </c>
      <c r="M10" s="20" t="s">
        <v>21</v>
      </c>
    </row>
    <row r="11" spans="1:13">
      <c r="A11" s="23" t="s">
        <v>28</v>
      </c>
      <c r="B11" s="23" t="s">
        <v>205</v>
      </c>
      <c r="C11" s="23" t="s">
        <v>30</v>
      </c>
      <c r="D11" s="23" t="str">
        <f>"0,6983"</f>
        <v>0,6983</v>
      </c>
      <c r="E11" s="23" t="s">
        <v>17</v>
      </c>
      <c r="F11" s="23" t="s">
        <v>18</v>
      </c>
      <c r="G11" s="46" t="s">
        <v>196</v>
      </c>
      <c r="H11" s="46" t="s">
        <v>149</v>
      </c>
      <c r="I11" s="46" t="s">
        <v>206</v>
      </c>
      <c r="J11" s="24"/>
      <c r="K11" s="41" t="str">
        <f>"57,5"</f>
        <v>57,5</v>
      </c>
      <c r="L11" s="42" t="str">
        <f>"42,8826"</f>
        <v>42,8826</v>
      </c>
      <c r="M11" s="23" t="s">
        <v>21</v>
      </c>
    </row>
    <row r="13" ht="14.25" spans="1:10">
      <c r="A13" s="18" t="s">
        <v>33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3">
      <c r="A14" s="20" t="s">
        <v>207</v>
      </c>
      <c r="B14" s="20" t="s">
        <v>208</v>
      </c>
      <c r="C14" s="20" t="s">
        <v>209</v>
      </c>
      <c r="D14" s="20" t="str">
        <f>"0,6749"</f>
        <v>0,6749</v>
      </c>
      <c r="E14" s="20" t="s">
        <v>17</v>
      </c>
      <c r="F14" s="20" t="s">
        <v>210</v>
      </c>
      <c r="G14" s="22" t="s">
        <v>211</v>
      </c>
      <c r="H14" s="22" t="s">
        <v>196</v>
      </c>
      <c r="I14" s="21" t="s">
        <v>200</v>
      </c>
      <c r="J14" s="21"/>
      <c r="K14" s="39" t="str">
        <f>"40,0"</f>
        <v>40,0</v>
      </c>
      <c r="L14" s="40" t="str">
        <f>"26,9960"</f>
        <v>26,9960</v>
      </c>
      <c r="M14" s="20" t="s">
        <v>21</v>
      </c>
    </row>
    <row r="15" spans="1:13">
      <c r="A15" s="43" t="s">
        <v>212</v>
      </c>
      <c r="B15" s="43" t="s">
        <v>213</v>
      </c>
      <c r="C15" s="43" t="s">
        <v>214</v>
      </c>
      <c r="D15" s="43" t="str">
        <f>"0,6561"</f>
        <v>0,6561</v>
      </c>
      <c r="E15" s="43" t="s">
        <v>17</v>
      </c>
      <c r="F15" s="43" t="s">
        <v>215</v>
      </c>
      <c r="G15" s="45" t="s">
        <v>216</v>
      </c>
      <c r="H15" s="44" t="s">
        <v>200</v>
      </c>
      <c r="I15" s="45" t="s">
        <v>150</v>
      </c>
      <c r="J15" s="45"/>
      <c r="K15" s="47" t="str">
        <f>"52,5"</f>
        <v>52,5</v>
      </c>
      <c r="L15" s="48" t="str">
        <f>"34,4479"</f>
        <v>34,4479</v>
      </c>
      <c r="M15" s="43" t="s">
        <v>21</v>
      </c>
    </row>
    <row r="16" spans="1:13">
      <c r="A16" s="43" t="s">
        <v>217</v>
      </c>
      <c r="B16" s="43" t="s">
        <v>218</v>
      </c>
      <c r="C16" s="43" t="s">
        <v>219</v>
      </c>
      <c r="D16" s="43" t="str">
        <f>"0,6461"</f>
        <v>0,6461</v>
      </c>
      <c r="E16" s="43" t="s">
        <v>17</v>
      </c>
      <c r="F16" s="43" t="s">
        <v>18</v>
      </c>
      <c r="G16" s="45" t="s">
        <v>149</v>
      </c>
      <c r="H16" s="44" t="s">
        <v>206</v>
      </c>
      <c r="I16" s="45" t="s">
        <v>220</v>
      </c>
      <c r="J16" s="45"/>
      <c r="K16" s="47" t="str">
        <f>"57,5"</f>
        <v>57,5</v>
      </c>
      <c r="L16" s="48" t="str">
        <f>"37,1536"</f>
        <v>37,1536</v>
      </c>
      <c r="M16" s="43" t="s">
        <v>21</v>
      </c>
    </row>
    <row r="17" spans="1:13">
      <c r="A17" s="43" t="s">
        <v>221</v>
      </c>
      <c r="B17" s="43" t="s">
        <v>222</v>
      </c>
      <c r="C17" s="43" t="s">
        <v>223</v>
      </c>
      <c r="D17" s="43" t="str">
        <f>"0,6535"</f>
        <v>0,6535</v>
      </c>
      <c r="E17" s="43" t="s">
        <v>17</v>
      </c>
      <c r="F17" s="43" t="s">
        <v>224</v>
      </c>
      <c r="G17" s="44" t="s">
        <v>148</v>
      </c>
      <c r="H17" s="45" t="s">
        <v>149</v>
      </c>
      <c r="I17" s="45" t="s">
        <v>200</v>
      </c>
      <c r="J17" s="45"/>
      <c r="K17" s="47" t="str">
        <f>"45,0"</f>
        <v>45,0</v>
      </c>
      <c r="L17" s="48" t="str">
        <f>"29,4053"</f>
        <v>29,4053</v>
      </c>
      <c r="M17" s="43" t="s">
        <v>21</v>
      </c>
    </row>
    <row r="18" spans="1:13">
      <c r="A18" s="43" t="s">
        <v>225</v>
      </c>
      <c r="B18" s="43" t="s">
        <v>226</v>
      </c>
      <c r="C18" s="43" t="s">
        <v>209</v>
      </c>
      <c r="D18" s="43" t="str">
        <f>"0,6749"</f>
        <v>0,6749</v>
      </c>
      <c r="E18" s="43" t="s">
        <v>17</v>
      </c>
      <c r="F18" s="43" t="s">
        <v>210</v>
      </c>
      <c r="G18" s="44" t="s">
        <v>211</v>
      </c>
      <c r="H18" s="44" t="s">
        <v>196</v>
      </c>
      <c r="I18" s="45" t="s">
        <v>200</v>
      </c>
      <c r="J18" s="45"/>
      <c r="K18" s="47" t="str">
        <f>"40,0"</f>
        <v>40,0</v>
      </c>
      <c r="L18" s="48" t="str">
        <f>"26,9960"</f>
        <v>26,9960</v>
      </c>
      <c r="M18" s="43" t="s">
        <v>21</v>
      </c>
    </row>
    <row r="19" spans="1:13">
      <c r="A19" s="23" t="s">
        <v>227</v>
      </c>
      <c r="B19" s="23" t="s">
        <v>228</v>
      </c>
      <c r="C19" s="23" t="s">
        <v>36</v>
      </c>
      <c r="D19" s="23" t="str">
        <f>"0,6700"</f>
        <v>0,6700</v>
      </c>
      <c r="E19" s="23" t="s">
        <v>17</v>
      </c>
      <c r="F19" s="23" t="s">
        <v>18</v>
      </c>
      <c r="G19" s="46" t="s">
        <v>116</v>
      </c>
      <c r="H19" s="46" t="s">
        <v>220</v>
      </c>
      <c r="I19" s="46" t="s">
        <v>229</v>
      </c>
      <c r="J19" s="24"/>
      <c r="K19" s="41" t="str">
        <f>"65,0"</f>
        <v>65,0</v>
      </c>
      <c r="L19" s="42" t="str">
        <f>"44,4177"</f>
        <v>44,4177</v>
      </c>
      <c r="M19" s="23" t="s">
        <v>21</v>
      </c>
    </row>
    <row r="21" ht="14.25" spans="1:10">
      <c r="A21" s="18" t="s">
        <v>43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3">
      <c r="A22" s="16" t="s">
        <v>230</v>
      </c>
      <c r="B22" s="16" t="s">
        <v>231</v>
      </c>
      <c r="C22" s="16" t="s">
        <v>232</v>
      </c>
      <c r="D22" s="16" t="str">
        <f>"0,6173"</f>
        <v>0,6173</v>
      </c>
      <c r="E22" s="16" t="s">
        <v>17</v>
      </c>
      <c r="F22" s="16" t="s">
        <v>18</v>
      </c>
      <c r="G22" s="32" t="s">
        <v>148</v>
      </c>
      <c r="H22" s="17" t="s">
        <v>148</v>
      </c>
      <c r="I22" s="32" t="s">
        <v>149</v>
      </c>
      <c r="J22" s="32"/>
      <c r="K22" s="37" t="str">
        <f>"45,0"</f>
        <v>45,0</v>
      </c>
      <c r="L22" s="38" t="str">
        <f>"27,7785"</f>
        <v>27,7785</v>
      </c>
      <c r="M22" s="16" t="s">
        <v>21</v>
      </c>
    </row>
    <row r="24" ht="14.25" spans="1:10">
      <c r="A24" s="18" t="s">
        <v>233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3">
      <c r="A25" s="16" t="s">
        <v>234</v>
      </c>
      <c r="B25" s="16" t="s">
        <v>235</v>
      </c>
      <c r="C25" s="16" t="s">
        <v>236</v>
      </c>
      <c r="D25" s="16" t="str">
        <f>"0,5632"</f>
        <v>0,5632</v>
      </c>
      <c r="E25" s="16" t="s">
        <v>17</v>
      </c>
      <c r="F25" s="16" t="s">
        <v>237</v>
      </c>
      <c r="G25" s="17" t="s">
        <v>31</v>
      </c>
      <c r="H25" s="32" t="s">
        <v>37</v>
      </c>
      <c r="I25" s="32" t="s">
        <v>42</v>
      </c>
      <c r="J25" s="32"/>
      <c r="K25" s="37" t="str">
        <f>"75,0"</f>
        <v>75,0</v>
      </c>
      <c r="L25" s="38" t="str">
        <f>"42,2400"</f>
        <v>42,2400</v>
      </c>
      <c r="M25" s="16" t="s">
        <v>21</v>
      </c>
    </row>
    <row r="27" ht="14.25" spans="5:5">
      <c r="E27" s="25" t="s">
        <v>49</v>
      </c>
    </row>
    <row r="28" ht="14.25" spans="5:5">
      <c r="E28" s="25" t="s">
        <v>50</v>
      </c>
    </row>
    <row r="29" ht="14.25" spans="5:5">
      <c r="E29" s="25" t="s">
        <v>51</v>
      </c>
    </row>
    <row r="30" ht="14.25" spans="5:5">
      <c r="E30" s="25" t="s">
        <v>52</v>
      </c>
    </row>
    <row r="31" ht="14.25" spans="5:5">
      <c r="E31" s="25" t="s">
        <v>52</v>
      </c>
    </row>
    <row r="32" ht="14.25" spans="5:5">
      <c r="E32" s="25" t="s">
        <v>53</v>
      </c>
    </row>
    <row r="33" ht="14.25" spans="5:5">
      <c r="E33" s="25"/>
    </row>
    <row r="35" ht="18.75" spans="1:2">
      <c r="A35" s="26" t="s">
        <v>54</v>
      </c>
      <c r="B35" s="26"/>
    </row>
    <row r="36" ht="14.25" spans="1:2">
      <c r="A36" s="27" t="s">
        <v>55</v>
      </c>
      <c r="B36" s="27"/>
    </row>
    <row r="37" ht="13.5" spans="1:2">
      <c r="A37" s="28"/>
      <c r="B37" s="29" t="s">
        <v>238</v>
      </c>
    </row>
    <row r="38" ht="13.5" spans="1:5">
      <c r="A38" s="30" t="s">
        <v>57</v>
      </c>
      <c r="B38" s="30" t="s">
        <v>58</v>
      </c>
      <c r="C38" s="30" t="s">
        <v>59</v>
      </c>
      <c r="D38" s="30" t="s">
        <v>60</v>
      </c>
      <c r="E38" s="30" t="s">
        <v>61</v>
      </c>
    </row>
    <row r="39" spans="1:5">
      <c r="A39" s="31" t="s">
        <v>239</v>
      </c>
      <c r="B39" s="3" t="s">
        <v>240</v>
      </c>
      <c r="C39" s="3" t="s">
        <v>77</v>
      </c>
      <c r="D39" s="3" t="s">
        <v>196</v>
      </c>
      <c r="E39" s="5" t="s">
        <v>241</v>
      </c>
    </row>
    <row r="41" ht="13.5" spans="1:2">
      <c r="A41" s="28"/>
      <c r="B41" s="29" t="s">
        <v>56</v>
      </c>
    </row>
    <row r="42" ht="13.5" spans="1:5">
      <c r="A42" s="30" t="s">
        <v>57</v>
      </c>
      <c r="B42" s="30" t="s">
        <v>58</v>
      </c>
      <c r="C42" s="30" t="s">
        <v>59</v>
      </c>
      <c r="D42" s="30" t="s">
        <v>60</v>
      </c>
      <c r="E42" s="30" t="s">
        <v>61</v>
      </c>
    </row>
    <row r="43" spans="1:5">
      <c r="A43" s="31" t="s">
        <v>242</v>
      </c>
      <c r="B43" s="3" t="s">
        <v>63</v>
      </c>
      <c r="C43" s="3" t="s">
        <v>243</v>
      </c>
      <c r="D43" s="3" t="s">
        <v>31</v>
      </c>
      <c r="E43" s="5" t="s">
        <v>244</v>
      </c>
    </row>
    <row r="44" spans="1:5">
      <c r="A44" s="31" t="s">
        <v>62</v>
      </c>
      <c r="B44" s="3" t="s">
        <v>63</v>
      </c>
      <c r="C44" s="3" t="s">
        <v>64</v>
      </c>
      <c r="D44" s="3" t="s">
        <v>148</v>
      </c>
      <c r="E44" s="5" t="s">
        <v>245</v>
      </c>
    </row>
    <row r="45" spans="1:5">
      <c r="A45" s="31" t="s">
        <v>246</v>
      </c>
      <c r="B45" s="3" t="s">
        <v>63</v>
      </c>
      <c r="C45" s="3" t="s">
        <v>77</v>
      </c>
      <c r="D45" s="3" t="s">
        <v>200</v>
      </c>
      <c r="E45" s="5" t="s">
        <v>247</v>
      </c>
    </row>
    <row r="47" ht="13.5" spans="1:2">
      <c r="A47" s="28"/>
      <c r="B47" s="29" t="s">
        <v>67</v>
      </c>
    </row>
    <row r="48" ht="13.5" spans="1:5">
      <c r="A48" s="30" t="s">
        <v>57</v>
      </c>
      <c r="B48" s="30" t="s">
        <v>58</v>
      </c>
      <c r="C48" s="30" t="s">
        <v>59</v>
      </c>
      <c r="D48" s="30" t="s">
        <v>60</v>
      </c>
      <c r="E48" s="30" t="s">
        <v>61</v>
      </c>
    </row>
    <row r="49" spans="1:5">
      <c r="A49" s="31" t="s">
        <v>248</v>
      </c>
      <c r="B49" s="3" t="s">
        <v>67</v>
      </c>
      <c r="C49" s="3" t="s">
        <v>77</v>
      </c>
      <c r="D49" s="3" t="s">
        <v>206</v>
      </c>
      <c r="E49" s="5" t="s">
        <v>249</v>
      </c>
    </row>
    <row r="50" spans="1:5">
      <c r="A50" s="31" t="s">
        <v>250</v>
      </c>
      <c r="B50" s="3" t="s">
        <v>67</v>
      </c>
      <c r="C50" s="3" t="s">
        <v>77</v>
      </c>
      <c r="D50" s="3" t="s">
        <v>148</v>
      </c>
      <c r="E50" s="5" t="s">
        <v>251</v>
      </c>
    </row>
    <row r="51" spans="1:5">
      <c r="A51" s="31" t="s">
        <v>252</v>
      </c>
      <c r="B51" s="3" t="s">
        <v>67</v>
      </c>
      <c r="C51" s="3" t="s">
        <v>73</v>
      </c>
      <c r="D51" s="3" t="s">
        <v>148</v>
      </c>
      <c r="E51" s="5" t="s">
        <v>253</v>
      </c>
    </row>
    <row r="52" spans="1:5">
      <c r="A52" s="31" t="s">
        <v>239</v>
      </c>
      <c r="B52" s="3" t="s">
        <v>67</v>
      </c>
      <c r="C52" s="3" t="s">
        <v>77</v>
      </c>
      <c r="D52" s="3" t="s">
        <v>196</v>
      </c>
      <c r="E52" s="5" t="s">
        <v>241</v>
      </c>
    </row>
    <row r="54" ht="13.5" spans="1:2">
      <c r="A54" s="28"/>
      <c r="B54" s="29" t="s">
        <v>80</v>
      </c>
    </row>
    <row r="55" ht="13.5" spans="1:5">
      <c r="A55" s="30" t="s">
        <v>57</v>
      </c>
      <c r="B55" s="30" t="s">
        <v>58</v>
      </c>
      <c r="C55" s="30" t="s">
        <v>59</v>
      </c>
      <c r="D55" s="30" t="s">
        <v>60</v>
      </c>
      <c r="E55" s="30" t="s">
        <v>61</v>
      </c>
    </row>
    <row r="56" spans="1:5">
      <c r="A56" s="31" t="s">
        <v>254</v>
      </c>
      <c r="B56" s="3" t="s">
        <v>255</v>
      </c>
      <c r="C56" s="3" t="s">
        <v>64</v>
      </c>
      <c r="D56" s="3" t="s">
        <v>200</v>
      </c>
      <c r="E56" s="5" t="s">
        <v>256</v>
      </c>
    </row>
    <row r="57" spans="1:5">
      <c r="A57" s="31" t="s">
        <v>257</v>
      </c>
      <c r="B57" s="3" t="s">
        <v>258</v>
      </c>
      <c r="C57" s="3" t="s">
        <v>77</v>
      </c>
      <c r="D57" s="3" t="s">
        <v>229</v>
      </c>
      <c r="E57" s="5" t="s">
        <v>259</v>
      </c>
    </row>
    <row r="58" spans="1:5">
      <c r="A58" s="31" t="s">
        <v>81</v>
      </c>
      <c r="B58" s="3" t="s">
        <v>260</v>
      </c>
      <c r="C58" s="3" t="s">
        <v>69</v>
      </c>
      <c r="D58" s="3" t="s">
        <v>206</v>
      </c>
      <c r="E58" s="5" t="s">
        <v>261</v>
      </c>
    </row>
    <row r="59" spans="1:5">
      <c r="A59" s="31" t="s">
        <v>262</v>
      </c>
      <c r="B59" s="3" t="s">
        <v>258</v>
      </c>
      <c r="C59" s="3" t="s">
        <v>69</v>
      </c>
      <c r="D59" s="3" t="s">
        <v>150</v>
      </c>
      <c r="E59" s="5" t="s">
        <v>263</v>
      </c>
    </row>
  </sheetData>
  <mergeCells count="16">
    <mergeCell ref="G3:J3"/>
    <mergeCell ref="A5:J5"/>
    <mergeCell ref="A9:J9"/>
    <mergeCell ref="A13:J13"/>
    <mergeCell ref="A21:J21"/>
    <mergeCell ref="A24:J24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workbookViewId="0">
      <selection activeCell="A1" sqref="A1:Y2"/>
    </sheetView>
  </sheetViews>
  <sheetFormatPr defaultColWidth="9.1047619047619" defaultRowHeight="12"/>
  <cols>
    <col min="1" max="1" width="24.6666666666667" style="3" customWidth="1"/>
    <col min="2" max="2" width="29.8857142857143" style="3" customWidth="1"/>
    <col min="3" max="3" width="14.8857142857143" style="3" customWidth="1"/>
    <col min="4" max="4" width="11.8857142857143" style="3" customWidth="1"/>
    <col min="5" max="5" width="21.7809523809524" style="3" customWidth="1"/>
    <col min="6" max="6" width="34.2190476190476" style="3" customWidth="1"/>
    <col min="7" max="9" width="5.55238095238095" style="4" customWidth="1"/>
    <col min="10" max="10" width="4.55238095238095" style="4" customWidth="1"/>
    <col min="11" max="11" width="7.66666666666667" style="5" customWidth="1"/>
    <col min="12" max="12" width="8.55238095238095" style="1" customWidth="1"/>
    <col min="13" max="13" width="14.6666666666667" style="3" customWidth="1"/>
    <col min="14" max="16384" width="9.1047619047619" style="4"/>
  </cols>
  <sheetData>
    <row r="1" s="1" customFormat="1" ht="28.95" customHeight="1" spans="1:13">
      <c r="A1" s="6" t="s">
        <v>264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</row>
    <row r="3" s="2" customFormat="1" ht="12.75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265</v>
      </c>
      <c r="H3" s="12"/>
      <c r="I3" s="12"/>
      <c r="J3" s="12"/>
      <c r="K3" s="12" t="s">
        <v>110</v>
      </c>
      <c r="L3" s="12" t="s">
        <v>9</v>
      </c>
      <c r="M3" s="35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194</v>
      </c>
      <c r="K4" s="14"/>
      <c r="L4" s="14"/>
      <c r="M4" s="36"/>
    </row>
    <row r="5" ht="14.25" spans="1:10">
      <c r="A5" s="15" t="s">
        <v>266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6" t="s">
        <v>267</v>
      </c>
      <c r="B6" s="16" t="s">
        <v>268</v>
      </c>
      <c r="C6" s="16" t="s">
        <v>269</v>
      </c>
      <c r="D6" s="16" t="str">
        <f>"1,1212"</f>
        <v>1,1212</v>
      </c>
      <c r="E6" s="16" t="s">
        <v>17</v>
      </c>
      <c r="F6" s="16" t="s">
        <v>18</v>
      </c>
      <c r="G6" s="17" t="s">
        <v>48</v>
      </c>
      <c r="H6" s="17" t="s">
        <v>165</v>
      </c>
      <c r="I6" s="32" t="s">
        <v>270</v>
      </c>
      <c r="J6" s="32"/>
      <c r="K6" s="37" t="str">
        <f>"95,0"</f>
        <v>95,0</v>
      </c>
      <c r="L6" s="38" t="str">
        <f>"106,5140"</f>
        <v>106,5140</v>
      </c>
      <c r="M6" s="16" t="s">
        <v>21</v>
      </c>
    </row>
    <row r="8" ht="14.25" spans="1:10">
      <c r="A8" s="18" t="s">
        <v>13</v>
      </c>
      <c r="B8" s="19"/>
      <c r="C8" s="19"/>
      <c r="D8" s="19"/>
      <c r="E8" s="19"/>
      <c r="F8" s="19"/>
      <c r="G8" s="19"/>
      <c r="H8" s="19"/>
      <c r="I8" s="19"/>
      <c r="J8" s="19"/>
    </row>
    <row r="9" spans="1:13">
      <c r="A9" s="16" t="s">
        <v>271</v>
      </c>
      <c r="B9" s="16" t="s">
        <v>272</v>
      </c>
      <c r="C9" s="16" t="s">
        <v>273</v>
      </c>
      <c r="D9" s="16" t="str">
        <f>"0,9559"</f>
        <v>0,9559</v>
      </c>
      <c r="E9" s="16" t="s">
        <v>17</v>
      </c>
      <c r="F9" s="16" t="s">
        <v>18</v>
      </c>
      <c r="G9" s="17" t="s">
        <v>166</v>
      </c>
      <c r="H9" s="17" t="s">
        <v>274</v>
      </c>
      <c r="I9" s="17" t="s">
        <v>275</v>
      </c>
      <c r="J9" s="32"/>
      <c r="K9" s="37" t="str">
        <f>"117,5"</f>
        <v>117,5</v>
      </c>
      <c r="L9" s="38" t="str">
        <f>"121,5283"</f>
        <v>121,5283</v>
      </c>
      <c r="M9" s="16" t="s">
        <v>276</v>
      </c>
    </row>
    <row r="11" ht="14.25" spans="1:10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3">
      <c r="A12" s="16" t="s">
        <v>277</v>
      </c>
      <c r="B12" s="16" t="s">
        <v>278</v>
      </c>
      <c r="C12" s="16" t="s">
        <v>279</v>
      </c>
      <c r="D12" s="16" t="str">
        <f>"0,8461"</f>
        <v>0,8461</v>
      </c>
      <c r="E12" s="16" t="s">
        <v>17</v>
      </c>
      <c r="F12" s="16" t="s">
        <v>18</v>
      </c>
      <c r="G12" s="32" t="s">
        <v>167</v>
      </c>
      <c r="H12" s="17" t="s">
        <v>167</v>
      </c>
      <c r="I12" s="32" t="s">
        <v>280</v>
      </c>
      <c r="J12" s="32"/>
      <c r="K12" s="37" t="str">
        <f>"115,0"</f>
        <v>115,0</v>
      </c>
      <c r="L12" s="38" t="str">
        <f>"97,2958"</f>
        <v>97,2958</v>
      </c>
      <c r="M12" s="16" t="s">
        <v>281</v>
      </c>
    </row>
    <row r="14" ht="14.25" spans="1:10">
      <c r="A14" s="18" t="s">
        <v>138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3">
      <c r="A15" s="16" t="s">
        <v>282</v>
      </c>
      <c r="B15" s="16" t="s">
        <v>283</v>
      </c>
      <c r="C15" s="16" t="s">
        <v>284</v>
      </c>
      <c r="D15" s="16" t="str">
        <f>"0,8411"</f>
        <v>0,8411</v>
      </c>
      <c r="E15" s="16" t="s">
        <v>17</v>
      </c>
      <c r="F15" s="16" t="s">
        <v>18</v>
      </c>
      <c r="G15" s="17" t="s">
        <v>285</v>
      </c>
      <c r="H15" s="17" t="s">
        <v>286</v>
      </c>
      <c r="I15" s="32" t="s">
        <v>287</v>
      </c>
      <c r="J15" s="32"/>
      <c r="K15" s="37" t="str">
        <f>"172,5"</f>
        <v>172,5</v>
      </c>
      <c r="L15" s="38" t="str">
        <f>"145,0811"</f>
        <v>145,0811</v>
      </c>
      <c r="M15" s="16" t="s">
        <v>21</v>
      </c>
    </row>
    <row r="17" ht="14.25" spans="1:10">
      <c r="A17" s="18" t="s">
        <v>13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3">
      <c r="A18" s="16" t="s">
        <v>288</v>
      </c>
      <c r="B18" s="16" t="s">
        <v>289</v>
      </c>
      <c r="C18" s="16" t="s">
        <v>290</v>
      </c>
      <c r="D18" s="16" t="str">
        <f>"0,7610"</f>
        <v>0,7610</v>
      </c>
      <c r="E18" s="16" t="s">
        <v>17</v>
      </c>
      <c r="F18" s="16" t="s">
        <v>18</v>
      </c>
      <c r="G18" s="17" t="s">
        <v>158</v>
      </c>
      <c r="H18" s="17" t="s">
        <v>291</v>
      </c>
      <c r="I18" s="17" t="s">
        <v>286</v>
      </c>
      <c r="J18" s="32"/>
      <c r="K18" s="37" t="str">
        <f>"172,5"</f>
        <v>172,5</v>
      </c>
      <c r="L18" s="38" t="str">
        <f>"131,2639"</f>
        <v>131,2639</v>
      </c>
      <c r="M18" s="16" t="s">
        <v>21</v>
      </c>
    </row>
    <row r="20" ht="14.25" spans="1:10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3">
      <c r="A21" s="20" t="s">
        <v>292</v>
      </c>
      <c r="B21" s="20" t="s">
        <v>293</v>
      </c>
      <c r="C21" s="20" t="s">
        <v>294</v>
      </c>
      <c r="D21" s="20" t="str">
        <f>"0,6550"</f>
        <v>0,6550</v>
      </c>
      <c r="E21" s="20" t="s">
        <v>295</v>
      </c>
      <c r="F21" s="20" t="s">
        <v>296</v>
      </c>
      <c r="G21" s="22" t="s">
        <v>297</v>
      </c>
      <c r="H21" s="22" t="s">
        <v>298</v>
      </c>
      <c r="I21" s="22" t="s">
        <v>299</v>
      </c>
      <c r="J21" s="21"/>
      <c r="K21" s="39" t="str">
        <f>"195,0"</f>
        <v>195,0</v>
      </c>
      <c r="L21" s="40" t="str">
        <f>"127,7347"</f>
        <v>127,7347</v>
      </c>
      <c r="M21" s="20" t="s">
        <v>21</v>
      </c>
    </row>
    <row r="22" spans="1:13">
      <c r="A22" s="23" t="s">
        <v>300</v>
      </c>
      <c r="B22" s="23" t="s">
        <v>301</v>
      </c>
      <c r="C22" s="23" t="s">
        <v>302</v>
      </c>
      <c r="D22" s="23" t="str">
        <f>"0,6513"</f>
        <v>0,6513</v>
      </c>
      <c r="E22" s="23" t="s">
        <v>17</v>
      </c>
      <c r="F22" s="23" t="s">
        <v>303</v>
      </c>
      <c r="G22" s="46" t="s">
        <v>297</v>
      </c>
      <c r="H22" s="46" t="s">
        <v>298</v>
      </c>
      <c r="I22" s="46" t="s">
        <v>299</v>
      </c>
      <c r="J22" s="24"/>
      <c r="K22" s="41" t="str">
        <f>"195,0"</f>
        <v>195,0</v>
      </c>
      <c r="L22" s="42" t="str">
        <f>"127,0035"</f>
        <v>127,0035</v>
      </c>
      <c r="M22" s="23" t="s">
        <v>21</v>
      </c>
    </row>
    <row r="24" ht="14.25" spans="1:10">
      <c r="A24" s="18" t="s">
        <v>43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3">
      <c r="A25" s="20" t="s">
        <v>304</v>
      </c>
      <c r="B25" s="20" t="s">
        <v>305</v>
      </c>
      <c r="C25" s="20" t="s">
        <v>306</v>
      </c>
      <c r="D25" s="20" t="str">
        <f>"0,6209"</f>
        <v>0,6209</v>
      </c>
      <c r="E25" s="20" t="s">
        <v>17</v>
      </c>
      <c r="F25" s="20" t="s">
        <v>307</v>
      </c>
      <c r="G25" s="22" t="s">
        <v>291</v>
      </c>
      <c r="H25" s="22" t="s">
        <v>287</v>
      </c>
      <c r="I25" s="21" t="s">
        <v>299</v>
      </c>
      <c r="J25" s="21"/>
      <c r="K25" s="39" t="str">
        <f>"180,0"</f>
        <v>180,0</v>
      </c>
      <c r="L25" s="40" t="str">
        <f>"111,7620"</f>
        <v>111,7620</v>
      </c>
      <c r="M25" s="20" t="s">
        <v>21</v>
      </c>
    </row>
    <row r="26" spans="1:13">
      <c r="A26" s="43" t="s">
        <v>308</v>
      </c>
      <c r="B26" s="43" t="s">
        <v>309</v>
      </c>
      <c r="C26" s="43" t="s">
        <v>310</v>
      </c>
      <c r="D26" s="43" t="str">
        <f>"0,6234"</f>
        <v>0,6234</v>
      </c>
      <c r="E26" s="43" t="s">
        <v>17</v>
      </c>
      <c r="F26" s="43" t="s">
        <v>18</v>
      </c>
      <c r="G26" s="44" t="s">
        <v>299</v>
      </c>
      <c r="H26" s="44" t="s">
        <v>311</v>
      </c>
      <c r="I26" s="45" t="s">
        <v>312</v>
      </c>
      <c r="J26" s="45"/>
      <c r="K26" s="47" t="str">
        <f>"215,0"</f>
        <v>215,0</v>
      </c>
      <c r="L26" s="48" t="str">
        <f>"134,0310"</f>
        <v>134,0310</v>
      </c>
      <c r="M26" s="43" t="s">
        <v>21</v>
      </c>
    </row>
    <row r="27" spans="1:13">
      <c r="A27" s="23" t="s">
        <v>313</v>
      </c>
      <c r="B27" s="23" t="s">
        <v>314</v>
      </c>
      <c r="C27" s="23" t="s">
        <v>315</v>
      </c>
      <c r="D27" s="23" t="str">
        <f>"0,6122"</f>
        <v>0,6122</v>
      </c>
      <c r="E27" s="23" t="s">
        <v>17</v>
      </c>
      <c r="F27" s="23" t="s">
        <v>237</v>
      </c>
      <c r="G27" s="46" t="s">
        <v>316</v>
      </c>
      <c r="H27" s="46" t="s">
        <v>311</v>
      </c>
      <c r="I27" s="24"/>
      <c r="J27" s="24"/>
      <c r="K27" s="41" t="str">
        <f>"215,0"</f>
        <v>215,0</v>
      </c>
      <c r="L27" s="42" t="str">
        <f>"131,6337"</f>
        <v>131,6337</v>
      </c>
      <c r="M27" s="23" t="s">
        <v>21</v>
      </c>
    </row>
    <row r="29" ht="14.25" spans="1:10">
      <c r="A29" s="18" t="s">
        <v>317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3">
      <c r="A30" s="20" t="s">
        <v>318</v>
      </c>
      <c r="B30" s="20" t="s">
        <v>319</v>
      </c>
      <c r="C30" s="20" t="s">
        <v>320</v>
      </c>
      <c r="D30" s="20" t="str">
        <f>"0,5938"</f>
        <v>0,5938</v>
      </c>
      <c r="E30" s="20" t="s">
        <v>17</v>
      </c>
      <c r="F30" s="20" t="s">
        <v>321</v>
      </c>
      <c r="G30" s="22" t="s">
        <v>322</v>
      </c>
      <c r="H30" s="22" t="s">
        <v>311</v>
      </c>
      <c r="I30" s="22" t="s">
        <v>323</v>
      </c>
      <c r="J30" s="21"/>
      <c r="K30" s="39" t="str">
        <f>"225,0"</f>
        <v>225,0</v>
      </c>
      <c r="L30" s="40" t="str">
        <f>"133,5938"</f>
        <v>133,5938</v>
      </c>
      <c r="M30" s="20" t="s">
        <v>21</v>
      </c>
    </row>
    <row r="31" spans="1:13">
      <c r="A31" s="23" t="s">
        <v>324</v>
      </c>
      <c r="B31" s="23" t="s">
        <v>325</v>
      </c>
      <c r="C31" s="23" t="s">
        <v>326</v>
      </c>
      <c r="D31" s="23" t="str">
        <f>"0,5940"</f>
        <v>0,5940</v>
      </c>
      <c r="E31" s="23" t="s">
        <v>17</v>
      </c>
      <c r="F31" s="23" t="s">
        <v>18</v>
      </c>
      <c r="G31" s="24" t="s">
        <v>327</v>
      </c>
      <c r="H31" s="24"/>
      <c r="I31" s="24"/>
      <c r="J31" s="24"/>
      <c r="K31" s="41" t="str">
        <f>"0.00"</f>
        <v>0.00</v>
      </c>
      <c r="L31" s="42" t="str">
        <f>"0,0000"</f>
        <v>0,0000</v>
      </c>
      <c r="M31" s="23" t="s">
        <v>21</v>
      </c>
    </row>
    <row r="33" ht="14.25" spans="5:5">
      <c r="E33" s="25" t="s">
        <v>49</v>
      </c>
    </row>
    <row r="34" ht="14.25" spans="5:5">
      <c r="E34" s="25" t="s">
        <v>50</v>
      </c>
    </row>
    <row r="35" ht="14.25" spans="5:5">
      <c r="E35" s="25" t="s">
        <v>51</v>
      </c>
    </row>
    <row r="36" ht="14.25" spans="5:5">
      <c r="E36" s="25" t="s">
        <v>52</v>
      </c>
    </row>
    <row r="37" ht="14.25" spans="5:5">
      <c r="E37" s="25" t="s">
        <v>52</v>
      </c>
    </row>
    <row r="38" ht="14.25" spans="5:5">
      <c r="E38" s="25" t="s">
        <v>53</v>
      </c>
    </row>
    <row r="39" ht="14.25" spans="5:5">
      <c r="E39" s="25"/>
    </row>
    <row r="41" ht="18.75" spans="1:2">
      <c r="A41" s="26" t="s">
        <v>54</v>
      </c>
      <c r="B41" s="26"/>
    </row>
    <row r="42" ht="14.25" spans="1:2">
      <c r="A42" s="27" t="s">
        <v>174</v>
      </c>
      <c r="B42" s="27"/>
    </row>
    <row r="43" ht="13.5" spans="1:2">
      <c r="A43" s="28"/>
      <c r="B43" s="29" t="s">
        <v>67</v>
      </c>
    </row>
    <row r="44" ht="13.5" spans="1:5">
      <c r="A44" s="30" t="s">
        <v>57</v>
      </c>
      <c r="B44" s="30" t="s">
        <v>58</v>
      </c>
      <c r="C44" s="30" t="s">
        <v>59</v>
      </c>
      <c r="D44" s="30" t="s">
        <v>60</v>
      </c>
      <c r="E44" s="30" t="s">
        <v>61</v>
      </c>
    </row>
    <row r="45" spans="1:5">
      <c r="A45" s="31" t="s">
        <v>328</v>
      </c>
      <c r="B45" s="3" t="s">
        <v>67</v>
      </c>
      <c r="C45" s="3" t="s">
        <v>329</v>
      </c>
      <c r="D45" s="3" t="s">
        <v>165</v>
      </c>
      <c r="E45" s="5" t="s">
        <v>330</v>
      </c>
    </row>
    <row r="46" spans="1:5">
      <c r="A46" s="31" t="s">
        <v>331</v>
      </c>
      <c r="B46" s="3" t="s">
        <v>67</v>
      </c>
      <c r="C46" s="3" t="s">
        <v>69</v>
      </c>
      <c r="D46" s="3" t="s">
        <v>167</v>
      </c>
      <c r="E46" s="5" t="s">
        <v>332</v>
      </c>
    </row>
    <row r="48" ht="13.5" spans="1:2">
      <c r="A48" s="28"/>
      <c r="B48" s="29" t="s">
        <v>80</v>
      </c>
    </row>
    <row r="49" ht="13.5" spans="1:5">
      <c r="A49" s="30" t="s">
        <v>57</v>
      </c>
      <c r="B49" s="30" t="s">
        <v>58</v>
      </c>
      <c r="C49" s="30" t="s">
        <v>59</v>
      </c>
      <c r="D49" s="30" t="s">
        <v>60</v>
      </c>
      <c r="E49" s="30" t="s">
        <v>61</v>
      </c>
    </row>
    <row r="50" spans="1:5">
      <c r="A50" s="31" t="s">
        <v>333</v>
      </c>
      <c r="B50" s="3" t="s">
        <v>260</v>
      </c>
      <c r="C50" s="3" t="s">
        <v>64</v>
      </c>
      <c r="D50" s="3" t="s">
        <v>275</v>
      </c>
      <c r="E50" s="5" t="s">
        <v>334</v>
      </c>
    </row>
    <row r="53" ht="14.25" spans="1:2">
      <c r="A53" s="27" t="s">
        <v>55</v>
      </c>
      <c r="B53" s="27"/>
    </row>
    <row r="54" ht="13.5" spans="1:2">
      <c r="A54" s="28"/>
      <c r="B54" s="29" t="s">
        <v>56</v>
      </c>
    </row>
    <row r="55" ht="13.5" spans="1:5">
      <c r="A55" s="30" t="s">
        <v>57</v>
      </c>
      <c r="B55" s="30" t="s">
        <v>58</v>
      </c>
      <c r="C55" s="30" t="s">
        <v>59</v>
      </c>
      <c r="D55" s="30" t="s">
        <v>60</v>
      </c>
      <c r="E55" s="30" t="s">
        <v>61</v>
      </c>
    </row>
    <row r="56" spans="1:5">
      <c r="A56" s="31" t="s">
        <v>335</v>
      </c>
      <c r="B56" s="3" t="s">
        <v>63</v>
      </c>
      <c r="C56" s="3" t="s">
        <v>73</v>
      </c>
      <c r="D56" s="3" t="s">
        <v>287</v>
      </c>
      <c r="E56" s="5" t="s">
        <v>336</v>
      </c>
    </row>
    <row r="58" ht="13.5" spans="1:2">
      <c r="A58" s="28"/>
      <c r="B58" s="29" t="s">
        <v>67</v>
      </c>
    </row>
    <row r="59" ht="13.5" spans="1:5">
      <c r="A59" s="30" t="s">
        <v>57</v>
      </c>
      <c r="B59" s="30" t="s">
        <v>58</v>
      </c>
      <c r="C59" s="30" t="s">
        <v>59</v>
      </c>
      <c r="D59" s="30" t="s">
        <v>60</v>
      </c>
      <c r="E59" s="30" t="s">
        <v>61</v>
      </c>
    </row>
    <row r="60" spans="1:5">
      <c r="A60" s="31" t="s">
        <v>337</v>
      </c>
      <c r="B60" s="3" t="s">
        <v>67</v>
      </c>
      <c r="C60" s="3" t="s">
        <v>176</v>
      </c>
      <c r="D60" s="3" t="s">
        <v>286</v>
      </c>
      <c r="E60" s="5" t="s">
        <v>338</v>
      </c>
    </row>
    <row r="61" spans="1:5">
      <c r="A61" s="31" t="s">
        <v>339</v>
      </c>
      <c r="B61" s="3" t="s">
        <v>67</v>
      </c>
      <c r="C61" s="3" t="s">
        <v>73</v>
      </c>
      <c r="D61" s="3" t="s">
        <v>311</v>
      </c>
      <c r="E61" s="5" t="s">
        <v>340</v>
      </c>
    </row>
    <row r="62" spans="1:5">
      <c r="A62" s="31" t="s">
        <v>341</v>
      </c>
      <c r="B62" s="3" t="s">
        <v>67</v>
      </c>
      <c r="C62" s="3" t="s">
        <v>342</v>
      </c>
      <c r="D62" s="3" t="s">
        <v>323</v>
      </c>
      <c r="E62" s="5" t="s">
        <v>343</v>
      </c>
    </row>
    <row r="63" spans="1:5">
      <c r="A63" s="31" t="s">
        <v>344</v>
      </c>
      <c r="B63" s="3" t="s">
        <v>67</v>
      </c>
      <c r="C63" s="3" t="s">
        <v>73</v>
      </c>
      <c r="D63" s="3" t="s">
        <v>311</v>
      </c>
      <c r="E63" s="5" t="s">
        <v>345</v>
      </c>
    </row>
    <row r="64" spans="1:5">
      <c r="A64" s="31" t="s">
        <v>346</v>
      </c>
      <c r="B64" s="3" t="s">
        <v>67</v>
      </c>
      <c r="C64" s="3" t="s">
        <v>64</v>
      </c>
      <c r="D64" s="3" t="s">
        <v>286</v>
      </c>
      <c r="E64" s="5" t="s">
        <v>347</v>
      </c>
    </row>
    <row r="65" spans="1:5">
      <c r="A65" s="31" t="s">
        <v>348</v>
      </c>
      <c r="B65" s="3" t="s">
        <v>67</v>
      </c>
      <c r="C65" s="3" t="s">
        <v>77</v>
      </c>
      <c r="D65" s="3" t="s">
        <v>299</v>
      </c>
      <c r="E65" s="5" t="s">
        <v>349</v>
      </c>
    </row>
    <row r="66" spans="1:5">
      <c r="A66" s="31" t="s">
        <v>350</v>
      </c>
      <c r="B66" s="3" t="s">
        <v>67</v>
      </c>
      <c r="C66" s="3" t="s">
        <v>77</v>
      </c>
      <c r="D66" s="3" t="s">
        <v>299</v>
      </c>
      <c r="E66" s="5" t="s">
        <v>351</v>
      </c>
    </row>
  </sheetData>
  <mergeCells count="19">
    <mergeCell ref="G3:J3"/>
    <mergeCell ref="A5:J5"/>
    <mergeCell ref="A8:J8"/>
    <mergeCell ref="A11:J11"/>
    <mergeCell ref="A14:J14"/>
    <mergeCell ref="A17:J17"/>
    <mergeCell ref="A20:J20"/>
    <mergeCell ref="A24:J24"/>
    <mergeCell ref="A29:J2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AWPC НЖ 1 вес</vt:lpstr>
      <vt:lpstr>WPC НЖ 1 вес</vt:lpstr>
      <vt:lpstr>Excalibur</vt:lpstr>
      <vt:lpstr>Rus brick</vt:lpstr>
      <vt:lpstr>Rus HUB</vt:lpstr>
      <vt:lpstr>Rus Axle</vt:lpstr>
      <vt:lpstr>Rus Roullette</vt:lpstr>
      <vt:lpstr>AWPC стр. под.на биц</vt:lpstr>
      <vt:lpstr>AWPC б_э тяга</vt:lpstr>
      <vt:lpstr>WPC б_э тяга</vt:lpstr>
      <vt:lpstr>AWPC ст. софт эк. жим</vt:lpstr>
      <vt:lpstr>AWPC жим стоя</vt:lpstr>
      <vt:lpstr>AWPC б_э жим</vt:lpstr>
      <vt:lpstr>AWPC Класс. ПЛ</vt:lpstr>
      <vt:lpstr>AWPC б_э ПЛ</vt:lpstr>
      <vt:lpstr>WPC ст. софт эк. жим</vt:lpstr>
      <vt:lpstr>WPC б_э жим</vt:lpstr>
      <vt:lpstr>WPC б_э ПЛ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Oleg</cp:lastModifiedBy>
  <dcterms:created xsi:type="dcterms:W3CDTF">2021-08-02T19:36:40Z</dcterms:created>
  <dcterms:modified xsi:type="dcterms:W3CDTF">2021-08-02T19:44:30Z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