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5" windowWidth="11340" windowHeight="9690"/>
  </bookViews>
  <sheets>
    <sheet name="WPC НЖ 1_2 вес" sheetId="21" r:id="rId1"/>
    <sheet name="AWPC НЖ 1 вес" sheetId="20" r:id="rId2"/>
    <sheet name="WPC НЖ 1 вес" sheetId="19" r:id="rId3"/>
    <sheet name="AWPC 1 слой тяга" sheetId="18" r:id="rId4"/>
    <sheet name="AWPC б_э тяга" sheetId="17" r:id="rId5"/>
    <sheet name="WPC б_э тяга" sheetId="16" r:id="rId6"/>
    <sheet name="AWPC мн.слой софт эк. жим" sheetId="15" r:id="rId7"/>
    <sheet name="AWPC стд. софт эк. жим" sheetId="14" r:id="rId8"/>
    <sheet name="AWPC б_э жим" sheetId="12" r:id="rId9"/>
    <sheet name="AWPC Класс. ПЛ RAW" sheetId="11" r:id="rId10"/>
    <sheet name="AWPC б_э ПЛ" sheetId="10" r:id="rId11"/>
    <sheet name="WPC стд. софт эк. жим" sheetId="9" r:id="rId12"/>
    <sheet name="WPC б_э жим" sheetId="7" r:id="rId13"/>
    <sheet name="WPC класс. ПЛ RAW" sheetId="6" r:id="rId14"/>
    <sheet name="WPC б_э ПЛ" sheetId="5" r:id="rId15"/>
  </sheets>
  <definedNames>
    <definedName name="_FilterDatabase" localSheetId="14" hidden="1">'WPC б_э ПЛ'!$A$1:$S$3</definedName>
  </definedNames>
  <calcPr calcId="125725" refMode="R1C1"/>
</workbook>
</file>

<file path=xl/calcChain.xml><?xml version="1.0" encoding="utf-8"?>
<calcChain xmlns="http://schemas.openxmlformats.org/spreadsheetml/2006/main">
  <c r="J6" i="21"/>
  <c r="I6"/>
  <c r="D6"/>
  <c r="J34" i="20"/>
  <c r="I34"/>
  <c r="D34"/>
  <c r="J31"/>
  <c r="I31"/>
  <c r="D31"/>
  <c r="J28"/>
  <c r="I28"/>
  <c r="D28"/>
  <c r="J27"/>
  <c r="I27"/>
  <c r="D27"/>
  <c r="J24"/>
  <c r="I24"/>
  <c r="D24"/>
  <c r="J23"/>
  <c r="I23"/>
  <c r="D23"/>
  <c r="J22"/>
  <c r="I22"/>
  <c r="D22"/>
  <c r="J19"/>
  <c r="I19"/>
  <c r="D19"/>
  <c r="J18"/>
  <c r="I18"/>
  <c r="D18"/>
  <c r="J15"/>
  <c r="I15"/>
  <c r="D15"/>
  <c r="J14"/>
  <c r="I14"/>
  <c r="D14"/>
  <c r="J13"/>
  <c r="I13"/>
  <c r="D13"/>
  <c r="J10"/>
  <c r="I10"/>
  <c r="D10"/>
  <c r="J9"/>
  <c r="I9"/>
  <c r="D9"/>
  <c r="J6"/>
  <c r="I6"/>
  <c r="D6"/>
  <c r="J22" i="19"/>
  <c r="I22"/>
  <c r="D22"/>
  <c r="J19"/>
  <c r="I19"/>
  <c r="D19"/>
  <c r="J18"/>
  <c r="I18"/>
  <c r="D18"/>
  <c r="J17"/>
  <c r="I17"/>
  <c r="D17"/>
  <c r="J14"/>
  <c r="I14"/>
  <c r="D14"/>
  <c r="J13"/>
  <c r="I13"/>
  <c r="D13"/>
  <c r="J10"/>
  <c r="I10"/>
  <c r="D10"/>
  <c r="J9"/>
  <c r="I9"/>
  <c r="D9"/>
  <c r="J6"/>
  <c r="I6"/>
  <c r="D6"/>
  <c r="L6" i="18"/>
  <c r="K6"/>
  <c r="D6"/>
  <c r="L33" i="17"/>
  <c r="K33"/>
  <c r="D33"/>
  <c r="L32"/>
  <c r="K32"/>
  <c r="D32"/>
  <c r="L29"/>
  <c r="K29"/>
  <c r="D29"/>
  <c r="L28"/>
  <c r="K28"/>
  <c r="D28"/>
  <c r="L25"/>
  <c r="K25"/>
  <c r="D25"/>
  <c r="L24"/>
  <c r="K24"/>
  <c r="D24"/>
  <c r="L23"/>
  <c r="K23"/>
  <c r="D23"/>
  <c r="L22"/>
  <c r="K22"/>
  <c r="D22"/>
  <c r="L19"/>
  <c r="K19"/>
  <c r="D19"/>
  <c r="L18"/>
  <c r="K18"/>
  <c r="D18"/>
  <c r="L15"/>
  <c r="K15"/>
  <c r="D15"/>
  <c r="L14"/>
  <c r="K14"/>
  <c r="D14"/>
  <c r="L13"/>
  <c r="K13"/>
  <c r="D13"/>
  <c r="L12"/>
  <c r="K12"/>
  <c r="D12"/>
  <c r="L11"/>
  <c r="K11"/>
  <c r="D11"/>
  <c r="L8"/>
  <c r="K8"/>
  <c r="D8"/>
  <c r="L7"/>
  <c r="K7"/>
  <c r="D7"/>
  <c r="L6"/>
  <c r="K6"/>
  <c r="D6"/>
  <c r="L28" i="16"/>
  <c r="K28"/>
  <c r="D28"/>
  <c r="L25"/>
  <c r="K25"/>
  <c r="D25"/>
  <c r="L24"/>
  <c r="K24"/>
  <c r="D24"/>
  <c r="L21"/>
  <c r="K21"/>
  <c r="D21"/>
  <c r="L20"/>
  <c r="K20"/>
  <c r="D20"/>
  <c r="L19"/>
  <c r="K19"/>
  <c r="D19"/>
  <c r="L16"/>
  <c r="K16"/>
  <c r="D16"/>
  <c r="L15"/>
  <c r="K15"/>
  <c r="D15"/>
  <c r="L12"/>
  <c r="K12"/>
  <c r="D12"/>
  <c r="L9"/>
  <c r="K9"/>
  <c r="D9"/>
  <c r="L6"/>
  <c r="K6"/>
  <c r="D6"/>
  <c r="L6" i="15"/>
  <c r="K6"/>
  <c r="D6"/>
  <c r="L19" i="14"/>
  <c r="K19"/>
  <c r="D19"/>
  <c r="L16"/>
  <c r="K16"/>
  <c r="D16"/>
  <c r="L15"/>
  <c r="K15"/>
  <c r="D15"/>
  <c r="L12"/>
  <c r="K12"/>
  <c r="D12"/>
  <c r="L9"/>
  <c r="K9"/>
  <c r="D9"/>
  <c r="L6"/>
  <c r="K6"/>
  <c r="D6"/>
  <c r="L85" i="12"/>
  <c r="K85"/>
  <c r="D85"/>
  <c r="L84"/>
  <c r="K84"/>
  <c r="D84"/>
  <c r="L83"/>
  <c r="K83"/>
  <c r="D83"/>
  <c r="L80"/>
  <c r="K80"/>
  <c r="D80"/>
  <c r="L79"/>
  <c r="K79"/>
  <c r="D79"/>
  <c r="L78"/>
  <c r="K78"/>
  <c r="D78"/>
  <c r="L75"/>
  <c r="K75"/>
  <c r="D75"/>
  <c r="L74"/>
  <c r="K74"/>
  <c r="D74"/>
  <c r="L73"/>
  <c r="K73"/>
  <c r="D73"/>
  <c r="L72"/>
  <c r="K72"/>
  <c r="D72"/>
  <c r="L71"/>
  <c r="K71"/>
  <c r="D71"/>
  <c r="L70"/>
  <c r="K70"/>
  <c r="D70"/>
  <c r="L69"/>
  <c r="K69"/>
  <c r="D69"/>
  <c r="L68"/>
  <c r="K68"/>
  <c r="D68"/>
  <c r="L67"/>
  <c r="K67"/>
  <c r="D67"/>
  <c r="L66"/>
  <c r="K66"/>
  <c r="D66"/>
  <c r="L65"/>
  <c r="K65"/>
  <c r="D65"/>
  <c r="L62"/>
  <c r="K62"/>
  <c r="D62"/>
  <c r="L61"/>
  <c r="K61"/>
  <c r="D61"/>
  <c r="L60"/>
  <c r="K60"/>
  <c r="D60"/>
  <c r="L59"/>
  <c r="K59"/>
  <c r="D59"/>
  <c r="L58"/>
  <c r="K58"/>
  <c r="D58"/>
  <c r="L57"/>
  <c r="K57"/>
  <c r="D57"/>
  <c r="L56"/>
  <c r="K56"/>
  <c r="D56"/>
  <c r="L55"/>
  <c r="K55"/>
  <c r="D55"/>
  <c r="L54"/>
  <c r="K54"/>
  <c r="D54"/>
  <c r="L51"/>
  <c r="K51"/>
  <c r="D51"/>
  <c r="L50"/>
  <c r="K50"/>
  <c r="D50"/>
  <c r="L49"/>
  <c r="K49"/>
  <c r="D49"/>
  <c r="L48"/>
  <c r="K48"/>
  <c r="D48"/>
  <c r="L47"/>
  <c r="K47"/>
  <c r="D47"/>
  <c r="L46"/>
  <c r="K46"/>
  <c r="D46"/>
  <c r="L45"/>
  <c r="K45"/>
  <c r="D45"/>
  <c r="L44"/>
  <c r="K44"/>
  <c r="D44"/>
  <c r="L43"/>
  <c r="K43"/>
  <c r="D43"/>
  <c r="L40"/>
  <c r="K40"/>
  <c r="D40"/>
  <c r="L39"/>
  <c r="K39"/>
  <c r="D39"/>
  <c r="L38"/>
  <c r="K38"/>
  <c r="D38"/>
  <c r="L37"/>
  <c r="K37"/>
  <c r="D37"/>
  <c r="L36"/>
  <c r="K36"/>
  <c r="D36"/>
  <c r="L35"/>
  <c r="K35"/>
  <c r="D35"/>
  <c r="L34"/>
  <c r="K34"/>
  <c r="D34"/>
  <c r="L31"/>
  <c r="K31"/>
  <c r="D31"/>
  <c r="L30"/>
  <c r="K30"/>
  <c r="D30"/>
  <c r="L29"/>
  <c r="K29"/>
  <c r="D29"/>
  <c r="L28"/>
  <c r="K28"/>
  <c r="D28"/>
  <c r="L27"/>
  <c r="K27"/>
  <c r="D27"/>
  <c r="L26"/>
  <c r="K26"/>
  <c r="D26"/>
  <c r="L25"/>
  <c r="K25"/>
  <c r="D25"/>
  <c r="L22"/>
  <c r="K22"/>
  <c r="D22"/>
  <c r="L21"/>
  <c r="K21"/>
  <c r="D21"/>
  <c r="L18"/>
  <c r="K18"/>
  <c r="D18"/>
  <c r="L17"/>
  <c r="K17"/>
  <c r="D17"/>
  <c r="L14"/>
  <c r="K14"/>
  <c r="D14"/>
  <c r="L13"/>
  <c r="K13"/>
  <c r="D13"/>
  <c r="L10"/>
  <c r="K10"/>
  <c r="D10"/>
  <c r="L9"/>
  <c r="K9"/>
  <c r="D9"/>
  <c r="L6"/>
  <c r="K6"/>
  <c r="D6"/>
  <c r="T19" i="11"/>
  <c r="S19"/>
  <c r="D19"/>
  <c r="T18"/>
  <c r="S18"/>
  <c r="D18"/>
  <c r="T15"/>
  <c r="S15"/>
  <c r="D15"/>
  <c r="T12"/>
  <c r="S12"/>
  <c r="D12"/>
  <c r="T9"/>
  <c r="S9"/>
  <c r="D9"/>
  <c r="T6"/>
  <c r="S6"/>
  <c r="D6"/>
  <c r="T38" i="10"/>
  <c r="S38"/>
  <c r="D38"/>
  <c r="T35"/>
  <c r="S35"/>
  <c r="D35"/>
  <c r="T34"/>
  <c r="S34"/>
  <c r="D34"/>
  <c r="T31"/>
  <c r="S31"/>
  <c r="D31"/>
  <c r="T28"/>
  <c r="S28"/>
  <c r="D28"/>
  <c r="T25"/>
  <c r="S25"/>
  <c r="D25"/>
  <c r="T22"/>
  <c r="S22"/>
  <c r="D22"/>
  <c r="T19"/>
  <c r="S19"/>
  <c r="D19"/>
  <c r="T16"/>
  <c r="S16"/>
  <c r="D16"/>
  <c r="T15"/>
  <c r="S15"/>
  <c r="D15"/>
  <c r="T14"/>
  <c r="S14"/>
  <c r="D14"/>
  <c r="T11"/>
  <c r="S11"/>
  <c r="D11"/>
  <c r="T10"/>
  <c r="S10"/>
  <c r="D10"/>
  <c r="T7"/>
  <c r="S7"/>
  <c r="D7"/>
  <c r="T6"/>
  <c r="S6"/>
  <c r="D6"/>
  <c r="L10" i="9"/>
  <c r="K10"/>
  <c r="D10"/>
  <c r="L7"/>
  <c r="K7"/>
  <c r="D7"/>
  <c r="L6"/>
  <c r="K6"/>
  <c r="D6"/>
  <c r="L33" i="7"/>
  <c r="K33"/>
  <c r="D33"/>
  <c r="L32"/>
  <c r="K32"/>
  <c r="D32"/>
  <c r="L29"/>
  <c r="K29"/>
  <c r="D29"/>
  <c r="L28"/>
  <c r="K28"/>
  <c r="D28"/>
  <c r="L25"/>
  <c r="K25"/>
  <c r="D25"/>
  <c r="L24"/>
  <c r="K24"/>
  <c r="D24"/>
  <c r="L21"/>
  <c r="K21"/>
  <c r="D21"/>
  <c r="L20"/>
  <c r="K20"/>
  <c r="D20"/>
  <c r="L19"/>
  <c r="K19"/>
  <c r="D19"/>
  <c r="L16"/>
  <c r="K16"/>
  <c r="D16"/>
  <c r="L13"/>
  <c r="K13"/>
  <c r="D13"/>
  <c r="L10"/>
  <c r="K10"/>
  <c r="D10"/>
  <c r="L7"/>
  <c r="K7"/>
  <c r="D7"/>
  <c r="L6"/>
  <c r="K6"/>
  <c r="D6"/>
  <c r="T12" i="6"/>
  <c r="S12"/>
  <c r="D12"/>
  <c r="T9"/>
  <c r="S9"/>
  <c r="D9"/>
  <c r="T6"/>
  <c r="S6"/>
  <c r="D6"/>
  <c r="T23" i="5"/>
  <c r="S23"/>
  <c r="D23"/>
  <c r="T20"/>
  <c r="S20"/>
  <c r="D20"/>
  <c r="T17"/>
  <c r="S17"/>
  <c r="D17"/>
  <c r="T16"/>
  <c r="S16"/>
  <c r="D16"/>
  <c r="T15"/>
  <c r="S15"/>
  <c r="D15"/>
  <c r="T12"/>
  <c r="S12"/>
  <c r="D12"/>
  <c r="T9"/>
  <c r="S9"/>
  <c r="D9"/>
  <c r="T6"/>
  <c r="S6"/>
  <c r="D6"/>
</calcChain>
</file>

<file path=xl/sharedStrings.xml><?xml version="1.0" encoding="utf-8"?>
<sst xmlns="http://schemas.openxmlformats.org/spreadsheetml/2006/main" count="3125" uniqueCount="1009">
  <si>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</si>
  <si>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</si>
  <si>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</si>
  <si>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</si>
  <si>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</si>
  <si>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</si>
  <si>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</si>
  <si>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</si>
  <si>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</si>
  <si>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Gloss</t>
  </si>
  <si>
    <t>Приседание</t>
  </si>
  <si>
    <t>Жим лёжа</t>
  </si>
  <si>
    <t>Становая тяга</t>
  </si>
  <si>
    <t>ВЕСОВАЯ КАТЕГОРИЯ   67.5</t>
  </si>
  <si>
    <t>Милохова Алена</t>
  </si>
  <si>
    <t>1. Милохова Алена</t>
  </si>
  <si>
    <t>Открытая (30.01.1991)/28</t>
  </si>
  <si>
    <t>66,90</t>
  </si>
  <si>
    <t xml:space="preserve">Megalift </t>
  </si>
  <si>
    <t xml:space="preserve">Москва </t>
  </si>
  <si>
    <t>130,0</t>
  </si>
  <si>
    <t>140,0</t>
  </si>
  <si>
    <t>80,0</t>
  </si>
  <si>
    <t>90,0</t>
  </si>
  <si>
    <t>95,0</t>
  </si>
  <si>
    <t>160,0</t>
  </si>
  <si>
    <t>170,0</t>
  </si>
  <si>
    <t xml:space="preserve"> </t>
  </si>
  <si>
    <t>ВЕСОВАЯ КАТЕГОРИЯ   82.5</t>
  </si>
  <si>
    <t>Бурцев Дмитрий</t>
  </si>
  <si>
    <t>1. Бурцев Дмитрий</t>
  </si>
  <si>
    <t>77,60</t>
  </si>
  <si>
    <t xml:space="preserve">Лично </t>
  </si>
  <si>
    <t>200,0</t>
  </si>
  <si>
    <t>210,0</t>
  </si>
  <si>
    <t>120,0</t>
  </si>
  <si>
    <t>125,0</t>
  </si>
  <si>
    <t>180,0</t>
  </si>
  <si>
    <t>190,0</t>
  </si>
  <si>
    <t>ВЕСОВАЯ КАТЕГОРИЯ   90</t>
  </si>
  <si>
    <t>Лохматиков Михаил</t>
  </si>
  <si>
    <t>1. Лохматиков Михаил</t>
  </si>
  <si>
    <t>Юниоры 20 - 23 (09.08.1996)/22</t>
  </si>
  <si>
    <t>84,90</t>
  </si>
  <si>
    <t>150,0</t>
  </si>
  <si>
    <t>115,0</t>
  </si>
  <si>
    <t>ВЕСОВАЯ КАТЕГОРИЯ   100</t>
  </si>
  <si>
    <t>Сизов Алексей</t>
  </si>
  <si>
    <t>1. Сизов Алексей</t>
  </si>
  <si>
    <t>Открытая (11.12.1979)/39</t>
  </si>
  <si>
    <t>97,70</t>
  </si>
  <si>
    <t xml:space="preserve">Kami Power Pro </t>
  </si>
  <si>
    <t xml:space="preserve">Домодедово/Московская область </t>
  </si>
  <si>
    <t>240,0</t>
  </si>
  <si>
    <t>255,0</t>
  </si>
  <si>
    <t>260,0</t>
  </si>
  <si>
    <t>175,0</t>
  </si>
  <si>
    <t>205,0</t>
  </si>
  <si>
    <t>285,0</t>
  </si>
  <si>
    <t>300,0</t>
  </si>
  <si>
    <t>Капутин Денис</t>
  </si>
  <si>
    <t>2. Капутин Денис</t>
  </si>
  <si>
    <t>Открытая (03.05.1988)/31</t>
  </si>
  <si>
    <t>96,70</t>
  </si>
  <si>
    <t>220,0</t>
  </si>
  <si>
    <t>230,0</t>
  </si>
  <si>
    <t>Грибков Павел</t>
  </si>
  <si>
    <t>3. Грибков Павел</t>
  </si>
  <si>
    <t>Открытая (23.06.1986)/33</t>
  </si>
  <si>
    <t>100,00</t>
  </si>
  <si>
    <t>215,0</t>
  </si>
  <si>
    <t>ВЕСОВАЯ КАТЕГОРИЯ   110</t>
  </si>
  <si>
    <t>Якушев Олег</t>
  </si>
  <si>
    <t>1. Якушев Олег</t>
  </si>
  <si>
    <t>Открытая (28.07.1989)/30</t>
  </si>
  <si>
    <t>104,70</t>
  </si>
  <si>
    <t>225,0</t>
  </si>
  <si>
    <t>ВЕСОВАЯ КАТЕГОРИЯ   125</t>
  </si>
  <si>
    <t>Садиков Алексей</t>
  </si>
  <si>
    <t>1. Садиков Алексей</t>
  </si>
  <si>
    <t>Открытая (04.01.1985)/34</t>
  </si>
  <si>
    <t>121,30</t>
  </si>
  <si>
    <t xml:space="preserve">Клин/Московская область </t>
  </si>
  <si>
    <t>172,5</t>
  </si>
  <si>
    <t>135,0</t>
  </si>
  <si>
    <t>142,5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</si>
  <si>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</si>
  <si>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</si>
  <si>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</si>
  <si>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</si>
  <si>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</si>
  <si>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</si>
  <si>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</si>
  <si>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</si>
  <si>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</si>
  <si>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</si>
  <si>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</si>
  <si>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</si>
  <si>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Gloss </t>
  </si>
  <si>
    <t>67.5</t>
  </si>
  <si>
    <t>390,0</t>
  </si>
  <si>
    <t>353,3205</t>
  </si>
  <si>
    <t xml:space="preserve">Мужчины </t>
  </si>
  <si>
    <t xml:space="preserve">Юниоры </t>
  </si>
  <si>
    <t xml:space="preserve">Юниоры 20 - 23 </t>
  </si>
  <si>
    <t>90</t>
  </si>
  <si>
    <t>465,0</t>
  </si>
  <si>
    <t>294,3915</t>
  </si>
  <si>
    <t>100</t>
  </si>
  <si>
    <t>750,0</t>
  </si>
  <si>
    <t>440,3625</t>
  </si>
  <si>
    <t>110</t>
  </si>
  <si>
    <t>610,0</t>
  </si>
  <si>
    <t>348,4625</t>
  </si>
  <si>
    <t>590,0</t>
  </si>
  <si>
    <t>348,0705</t>
  </si>
  <si>
    <t>545,0</t>
  </si>
  <si>
    <t>316,8085</t>
  </si>
  <si>
    <t>125</t>
  </si>
  <si>
    <t>525,0</t>
  </si>
  <si>
    <t>288,5400</t>
  </si>
  <si>
    <t>82.5</t>
  </si>
  <si>
    <t>520,0</t>
  </si>
  <si>
    <t>356,3227</t>
  </si>
  <si>
    <t>Чернышова Мария</t>
  </si>
  <si>
    <t>1. Чернышова Мария</t>
  </si>
  <si>
    <t>Юниорки 20 - 23 (22.06.1998)/21</t>
  </si>
  <si>
    <t>66,00</t>
  </si>
  <si>
    <t xml:space="preserve">Эстония/ </t>
  </si>
  <si>
    <t>40,0</t>
  </si>
  <si>
    <t>45,0</t>
  </si>
  <si>
    <t>50,0</t>
  </si>
  <si>
    <t>30,0</t>
  </si>
  <si>
    <t>35,0</t>
  </si>
  <si>
    <t>37,5</t>
  </si>
  <si>
    <t>92,5</t>
  </si>
  <si>
    <t>Корнюшко Федор</t>
  </si>
  <si>
    <t>1. Корнюшко Федор</t>
  </si>
  <si>
    <t>Открытая (20.03.1989)/30</t>
  </si>
  <si>
    <t>82,00</t>
  </si>
  <si>
    <t xml:space="preserve">Борисов/ </t>
  </si>
  <si>
    <t>270,0</t>
  </si>
  <si>
    <t>Беляев Михаил</t>
  </si>
  <si>
    <t>1. Беляев Михаил</t>
  </si>
  <si>
    <t>Открытая (24.09.1988)/30</t>
  </si>
  <si>
    <t>97,10</t>
  </si>
  <si>
    <t>262,5</t>
  </si>
  <si>
    <t>145,0</t>
  </si>
  <si>
    <t>155,0</t>
  </si>
  <si>
    <t>275,0</t>
  </si>
  <si>
    <t xml:space="preserve">Юниорки </t>
  </si>
  <si>
    <t>177,5</t>
  </si>
  <si>
    <t>162,5190</t>
  </si>
  <si>
    <t>690,0</t>
  </si>
  <si>
    <t>406,3065</t>
  </si>
  <si>
    <t>602,5</t>
  </si>
  <si>
    <t>389,9079</t>
  </si>
  <si>
    <t>Велиал Ника</t>
  </si>
  <si>
    <t>1. Велиал Ника</t>
  </si>
  <si>
    <t>Открытая (25.11.1992)/26</t>
  </si>
  <si>
    <t>63,50</t>
  </si>
  <si>
    <t>87,5</t>
  </si>
  <si>
    <t>Романович Анжелина</t>
  </si>
  <si>
    <t>1. Романович Анжелина</t>
  </si>
  <si>
    <t>67,40</t>
  </si>
  <si>
    <t xml:space="preserve">Рига/ </t>
  </si>
  <si>
    <t>60,0</t>
  </si>
  <si>
    <t>65,0</t>
  </si>
  <si>
    <t>70,0</t>
  </si>
  <si>
    <t>ВЕСОВАЯ КАТЕГОРИЯ   75</t>
  </si>
  <si>
    <t>Матвиенко Надежда</t>
  </si>
  <si>
    <t>1. Матвиенко Надежда</t>
  </si>
  <si>
    <t>72,40</t>
  </si>
  <si>
    <t>100,0</t>
  </si>
  <si>
    <t>105,0</t>
  </si>
  <si>
    <t>110,0</t>
  </si>
  <si>
    <t xml:space="preserve">Опченок Егор </t>
  </si>
  <si>
    <t>Игнатьев Артем</t>
  </si>
  <si>
    <t>1. Игнатьев Артем</t>
  </si>
  <si>
    <t>Открытая (08.12.1985)/33</t>
  </si>
  <si>
    <t>72,30</t>
  </si>
  <si>
    <t xml:space="preserve">Владимир/Владимирская область </t>
  </si>
  <si>
    <t>112,5</t>
  </si>
  <si>
    <t>Айрапетян Дмитрий</t>
  </si>
  <si>
    <t>1. Айрапетян Дмитрий</t>
  </si>
  <si>
    <t>Открытая (25.10.1987)/31</t>
  </si>
  <si>
    <t>77,50</t>
  </si>
  <si>
    <t>165,0</t>
  </si>
  <si>
    <t>Галицин Геннадий</t>
  </si>
  <si>
    <t>1. Галицин Геннадий</t>
  </si>
  <si>
    <t>Открытая (15.04.1985)/34</t>
  </si>
  <si>
    <t>90,00</t>
  </si>
  <si>
    <t>Сагитов Марат</t>
  </si>
  <si>
    <t>1. Сагитов Марат</t>
  </si>
  <si>
    <t>87,40</t>
  </si>
  <si>
    <t>147,5</t>
  </si>
  <si>
    <t>Худолеев Евгений</t>
  </si>
  <si>
    <t>1. Худолеев Евгений</t>
  </si>
  <si>
    <t>88,20</t>
  </si>
  <si>
    <t>Снежков Илья</t>
  </si>
  <si>
    <t>1. Снежков Илья</t>
  </si>
  <si>
    <t>Открытая (06.12.1989)/29</t>
  </si>
  <si>
    <t>93,20</t>
  </si>
  <si>
    <t>Тырнов Алексей</t>
  </si>
  <si>
    <t>2. Тырнов Алексей</t>
  </si>
  <si>
    <t>Открытая (28.04.1982)/37</t>
  </si>
  <si>
    <t>97,60</t>
  </si>
  <si>
    <t xml:space="preserve">Чулково/Московская обл </t>
  </si>
  <si>
    <t>185,0</t>
  </si>
  <si>
    <t>195,0</t>
  </si>
  <si>
    <t>Сухопаров Сергей</t>
  </si>
  <si>
    <t>1. Сухопаров Сергей</t>
  </si>
  <si>
    <t>Открытая (15.11.1981)/37</t>
  </si>
  <si>
    <t>107,40</t>
  </si>
  <si>
    <t xml:space="preserve">Беларусь/ </t>
  </si>
  <si>
    <t>Панчев Антон</t>
  </si>
  <si>
    <t>2. Панчев Антон</t>
  </si>
  <si>
    <t>Открытая (05.10.1987)/31</t>
  </si>
  <si>
    <t>109,10</t>
  </si>
  <si>
    <t>Медведев Дмитрий</t>
  </si>
  <si>
    <t>1. Медведев Дмитрий</t>
  </si>
  <si>
    <t>Юниоры 20 - 23 (16.03.1996)/23</t>
  </si>
  <si>
    <t>114,40</t>
  </si>
  <si>
    <t xml:space="preserve">Орехово-Зуево/Московская область </t>
  </si>
  <si>
    <t>162,5</t>
  </si>
  <si>
    <t>167,5</t>
  </si>
  <si>
    <t>Овечкин Максим</t>
  </si>
  <si>
    <t>1. Овечкин Максим</t>
  </si>
  <si>
    <t>111,90</t>
  </si>
  <si>
    <t>89,6705</t>
  </si>
  <si>
    <t>75</t>
  </si>
  <si>
    <t>110,1416</t>
  </si>
  <si>
    <t>78,5634</t>
  </si>
  <si>
    <t>93,2808</t>
  </si>
  <si>
    <t>123,1333</t>
  </si>
  <si>
    <t>117,6700</t>
  </si>
  <si>
    <t>117,4900</t>
  </si>
  <si>
    <t>110,1330</t>
  </si>
  <si>
    <t>101,9610</t>
  </si>
  <si>
    <t>97,2555</t>
  </si>
  <si>
    <t>67,2505</t>
  </si>
  <si>
    <t>127,5821</t>
  </si>
  <si>
    <t>106,7925</t>
  </si>
  <si>
    <t>100,6685</t>
  </si>
  <si>
    <t>Результат</t>
  </si>
  <si>
    <t>Ушаков Роман</t>
  </si>
  <si>
    <t>1. Ушаков Роман</t>
  </si>
  <si>
    <t>Открытая (27.11.1984)/34</t>
  </si>
  <si>
    <t>98,40</t>
  </si>
  <si>
    <t xml:space="preserve">Чехов/Московская область </t>
  </si>
  <si>
    <t>-. Соколовский Николай</t>
  </si>
  <si>
    <t>Открытая (16.07.1992)/27</t>
  </si>
  <si>
    <t>94,90</t>
  </si>
  <si>
    <t xml:space="preserve">Витебск/ </t>
  </si>
  <si>
    <t>Туляков Никита</t>
  </si>
  <si>
    <t>1. Туляков Никита</t>
  </si>
  <si>
    <t>Открытая (23.02.1988)/31</t>
  </si>
  <si>
    <t>118,60</t>
  </si>
  <si>
    <t>245,0</t>
  </si>
  <si>
    <t>265,0</t>
  </si>
  <si>
    <t xml:space="preserve">Суший Илья </t>
  </si>
  <si>
    <t>152,1910</t>
  </si>
  <si>
    <t>146,3860</t>
  </si>
  <si>
    <t>ВЕСОВАЯ КАТЕГОРИЯ   56</t>
  </si>
  <si>
    <t>Романова Екатерина</t>
  </si>
  <si>
    <t>1. Романова Екатерина</t>
  </si>
  <si>
    <t>Открытая (12.06.1990)/29</t>
  </si>
  <si>
    <t>55,90</t>
  </si>
  <si>
    <t>97,5</t>
  </si>
  <si>
    <t>102,5</t>
  </si>
  <si>
    <t>Чернышева Юлия</t>
  </si>
  <si>
    <t>2. Чернышева Юлия</t>
  </si>
  <si>
    <t>Открытая (07.11.1988)/30</t>
  </si>
  <si>
    <t>55,50</t>
  </si>
  <si>
    <t>67,5</t>
  </si>
  <si>
    <t>72,5</t>
  </si>
  <si>
    <t>42,5</t>
  </si>
  <si>
    <t>47,5</t>
  </si>
  <si>
    <t>ВЕСОВАЯ КАТЕГОРИЯ   60</t>
  </si>
  <si>
    <t>Самойлова Светлана</t>
  </si>
  <si>
    <t>1. Самойлова Светлана</t>
  </si>
  <si>
    <t>Открытая (28.07.1973)/46</t>
  </si>
  <si>
    <t>57,30</t>
  </si>
  <si>
    <t>85,0</t>
  </si>
  <si>
    <t>55,0</t>
  </si>
  <si>
    <t>Сонг Наталья</t>
  </si>
  <si>
    <t>1. Сонг Наталья</t>
  </si>
  <si>
    <t>57,00</t>
  </si>
  <si>
    <t xml:space="preserve">Нарва/ </t>
  </si>
  <si>
    <t>75,0</t>
  </si>
  <si>
    <t>77,5</t>
  </si>
  <si>
    <t>52,5</t>
  </si>
  <si>
    <t>57,5</t>
  </si>
  <si>
    <t>117,5</t>
  </si>
  <si>
    <t>Татарская Альбина</t>
  </si>
  <si>
    <t>1. Татарская Альбина</t>
  </si>
  <si>
    <t>Открытая (11.02.1992)/27</t>
  </si>
  <si>
    <t>65,40</t>
  </si>
  <si>
    <t>152,5</t>
  </si>
  <si>
    <t>Чупракова Екатерина</t>
  </si>
  <si>
    <t>2. Чупракова Екатерина</t>
  </si>
  <si>
    <t>Открытая (11.05.1982)/37</t>
  </si>
  <si>
    <t>64,40</t>
  </si>
  <si>
    <t>-. Николаева Олеся</t>
  </si>
  <si>
    <t>Открытая (31.01.1978)/41</t>
  </si>
  <si>
    <t>65,50</t>
  </si>
  <si>
    <t>Никитина Анна</t>
  </si>
  <si>
    <t>1. Никитина Анна</t>
  </si>
  <si>
    <t>Открытая (09.06.1990)/29</t>
  </si>
  <si>
    <t>70,60</t>
  </si>
  <si>
    <t>27,5</t>
  </si>
  <si>
    <t>32,5</t>
  </si>
  <si>
    <t>Медведев Семен</t>
  </si>
  <si>
    <t>1. Медведев Семен</t>
  </si>
  <si>
    <t>Юноши 13 - 15 (18.08.2003)/15</t>
  </si>
  <si>
    <t>52,50</t>
  </si>
  <si>
    <t>Рахими Бахамин</t>
  </si>
  <si>
    <t>1. Рахими Бахамин</t>
  </si>
  <si>
    <t>Открытая (06.06.1993)/26</t>
  </si>
  <si>
    <t>65,70</t>
  </si>
  <si>
    <t xml:space="preserve">Кабул/Афганистан </t>
  </si>
  <si>
    <t>202,5</t>
  </si>
  <si>
    <t>Павленко Роман</t>
  </si>
  <si>
    <t>1. Павленко Роман</t>
  </si>
  <si>
    <t>Открытая (27.06.1990)/29</t>
  </si>
  <si>
    <t>80,10</t>
  </si>
  <si>
    <t>Совин Павел</t>
  </si>
  <si>
    <t>1. Совин Павел</t>
  </si>
  <si>
    <t>Открытая (28.08.1991)/27</t>
  </si>
  <si>
    <t>87,00</t>
  </si>
  <si>
    <t>Плетнев Матвей</t>
  </si>
  <si>
    <t>1. Плетнев Матвей</t>
  </si>
  <si>
    <t>Юноши 18 - 19 (14.12.2000)/18</t>
  </si>
  <si>
    <t>Шмандин Артем</t>
  </si>
  <si>
    <t>1. Шмандин Артем</t>
  </si>
  <si>
    <t>Открытая (01.04.1987)/32</t>
  </si>
  <si>
    <t>97,80</t>
  </si>
  <si>
    <t xml:space="preserve">Великий Новгород/Новгородская область </t>
  </si>
  <si>
    <t>Захаров Олег</t>
  </si>
  <si>
    <t>1. Захаров Олег</t>
  </si>
  <si>
    <t>Открытая (30.06.1975)/44</t>
  </si>
  <si>
    <t>106,40</t>
  </si>
  <si>
    <t>352,5</t>
  </si>
  <si>
    <t>325,0755</t>
  </si>
  <si>
    <t>60</t>
  </si>
  <si>
    <t>272,5</t>
  </si>
  <si>
    <t>279,2580</t>
  </si>
  <si>
    <t>256,6987</t>
  </si>
  <si>
    <t>56</t>
  </si>
  <si>
    <t>242,5</t>
  </si>
  <si>
    <t>253,5095</t>
  </si>
  <si>
    <t>220,7940</t>
  </si>
  <si>
    <t>143,7562</t>
  </si>
  <si>
    <t>250,0</t>
  </si>
  <si>
    <t>265,2763</t>
  </si>
  <si>
    <t xml:space="preserve">Юноши </t>
  </si>
  <si>
    <t xml:space="preserve">Юноши 18 - 19 </t>
  </si>
  <si>
    <t>360,0</t>
  </si>
  <si>
    <t>211,3740</t>
  </si>
  <si>
    <t xml:space="preserve">Юноши 13 - 15 </t>
  </si>
  <si>
    <t>217,5</t>
  </si>
  <si>
    <t>207,9844</t>
  </si>
  <si>
    <t>356,1900</t>
  </si>
  <si>
    <t>600,0</t>
  </si>
  <si>
    <t>352,1700</t>
  </si>
  <si>
    <t>595,0</t>
  </si>
  <si>
    <t>338,0195</t>
  </si>
  <si>
    <t>495,0</t>
  </si>
  <si>
    <t>308,8057</t>
  </si>
  <si>
    <t>430,0</t>
  </si>
  <si>
    <t>282,6390</t>
  </si>
  <si>
    <t>Сметанкин Алексей</t>
  </si>
  <si>
    <t>1. Сметанкин Алексей</t>
  </si>
  <si>
    <t>Юноши 13 - 15 (26.09.2008)/10</t>
  </si>
  <si>
    <t>59,80</t>
  </si>
  <si>
    <t>82,5</t>
  </si>
  <si>
    <t>Тимофеев Александр</t>
  </si>
  <si>
    <t>1. Тимофеев Александр</t>
  </si>
  <si>
    <t>Открытая (18.05.1991)/28</t>
  </si>
  <si>
    <t>66,40</t>
  </si>
  <si>
    <t xml:space="preserve">Апрелевка/Московская область </t>
  </si>
  <si>
    <t>107,5</t>
  </si>
  <si>
    <t>Бережной Николай</t>
  </si>
  <si>
    <t>1. Бережной Николай</t>
  </si>
  <si>
    <t>Открытая (24.09.1985)/33</t>
  </si>
  <si>
    <t>79,90</t>
  </si>
  <si>
    <t>Коркин Игорь</t>
  </si>
  <si>
    <t>1. Коркин Игорь</t>
  </si>
  <si>
    <t>Открытая (08.09.1987)/31</t>
  </si>
  <si>
    <t>85,60</t>
  </si>
  <si>
    <t>Тарасов Антон</t>
  </si>
  <si>
    <t>1. Тарасов Антон</t>
  </si>
  <si>
    <t>Открытая (09.11.1986)/32</t>
  </si>
  <si>
    <t>98,80</t>
  </si>
  <si>
    <t>235,0</t>
  </si>
  <si>
    <t>Панкратов Алексей</t>
  </si>
  <si>
    <t>-. Панкратов Алексей</t>
  </si>
  <si>
    <t>Открытая (03.02.1980)/39</t>
  </si>
  <si>
    <t>96,30</t>
  </si>
  <si>
    <t>162,9323</t>
  </si>
  <si>
    <t>620,0</t>
  </si>
  <si>
    <t>362,2660</t>
  </si>
  <si>
    <t>472,5</t>
  </si>
  <si>
    <t>358,6275</t>
  </si>
  <si>
    <t>490,0</t>
  </si>
  <si>
    <t>322,5915</t>
  </si>
  <si>
    <t>435,0</t>
  </si>
  <si>
    <t>274,0065</t>
  </si>
  <si>
    <t>ВЕСОВАЯ КАТЕГОРИЯ   52</t>
  </si>
  <si>
    <t>Жарова Марина</t>
  </si>
  <si>
    <t>1. Жарова Марина</t>
  </si>
  <si>
    <t>Открытая (20.03.1984)/35</t>
  </si>
  <si>
    <t>50,90</t>
  </si>
  <si>
    <t xml:space="preserve">Краснодар/Краснодарский край </t>
  </si>
  <si>
    <t>Тассова Мария</t>
  </si>
  <si>
    <t>1. Тассова Мария</t>
  </si>
  <si>
    <t>Девушки 18 - 19 (24.07.2000)/19</t>
  </si>
  <si>
    <t>54,60</t>
  </si>
  <si>
    <t>Сенькина Лина</t>
  </si>
  <si>
    <t>1. Сенькина Лина</t>
  </si>
  <si>
    <t>Открытая (28.04.1995)/24</t>
  </si>
  <si>
    <t>54,90</t>
  </si>
  <si>
    <t>Коваленко Евгения</t>
  </si>
  <si>
    <t>1. Коваленко Евгения</t>
  </si>
  <si>
    <t>Открытая (21.03.1982)/37</t>
  </si>
  <si>
    <t>59,30</t>
  </si>
  <si>
    <t>Белова Мария</t>
  </si>
  <si>
    <t>2. Белова Мария</t>
  </si>
  <si>
    <t>Открытая (09.09.1986)/32</t>
  </si>
  <si>
    <t>59,90</t>
  </si>
  <si>
    <t>Баталова Татьяна</t>
  </si>
  <si>
    <t>1. Баталова Татьяна</t>
  </si>
  <si>
    <t>Юниорки 20 - 23 (20.05.1997)/22</t>
  </si>
  <si>
    <t>65,20</t>
  </si>
  <si>
    <t>Федюнина Яна</t>
  </si>
  <si>
    <t>1. Федюнина Яна</t>
  </si>
  <si>
    <t>66,10</t>
  </si>
  <si>
    <t>Кузнецов Александр</t>
  </si>
  <si>
    <t>1. Кузнецов Александр</t>
  </si>
  <si>
    <t>Открытая (16.12.1993)/25</t>
  </si>
  <si>
    <t>58,80</t>
  </si>
  <si>
    <t>2. Балашов Алексей</t>
  </si>
  <si>
    <t>Открытая (14.01.1990)/29</t>
  </si>
  <si>
    <t>58,60</t>
  </si>
  <si>
    <t>Кокташ Алексей</t>
  </si>
  <si>
    <t>1. Кокташ Алексей</t>
  </si>
  <si>
    <t>Юноши 16 - 17 (21.03.2002)/17</t>
  </si>
  <si>
    <t>Бубнов Александр</t>
  </si>
  <si>
    <t>1. Бубнов Александр</t>
  </si>
  <si>
    <t>Юниоры 20 - 23 (30.08.1996)/22</t>
  </si>
  <si>
    <t>64,70</t>
  </si>
  <si>
    <t>Канцуров Сергей</t>
  </si>
  <si>
    <t>1. Канцуров Сергей</t>
  </si>
  <si>
    <t>Открытая (14.03.1991)/28</t>
  </si>
  <si>
    <t>Маслов Максим</t>
  </si>
  <si>
    <t>2. Маслов Максим</t>
  </si>
  <si>
    <t>Открытая (08.09.1982)/36</t>
  </si>
  <si>
    <t>62,50</t>
  </si>
  <si>
    <t>Сулаев Андрей</t>
  </si>
  <si>
    <t>3. Сулаев Андрей</t>
  </si>
  <si>
    <t>Открытая (21.07.1994)/25</t>
  </si>
  <si>
    <t>67,50</t>
  </si>
  <si>
    <t>127,5</t>
  </si>
  <si>
    <t>-. Мельников Алексей</t>
  </si>
  <si>
    <t>Открытая (06.09.1993)/25</t>
  </si>
  <si>
    <t>65,90</t>
  </si>
  <si>
    <t>Зубков Александр</t>
  </si>
  <si>
    <t>1. Зубков Александр</t>
  </si>
  <si>
    <t xml:space="preserve">Владивосток/Приморский край </t>
  </si>
  <si>
    <t>Локтев Сергей</t>
  </si>
  <si>
    <t>1. Локтев Сергей</t>
  </si>
  <si>
    <t>Юниоры 20 - 23 (10.10.1997)/21</t>
  </si>
  <si>
    <t>69,00</t>
  </si>
  <si>
    <t xml:space="preserve">Голицыно/Московская область </t>
  </si>
  <si>
    <t>Игнатов Дмитрий</t>
  </si>
  <si>
    <t>1. Игнатов Дмитрий</t>
  </si>
  <si>
    <t>Открытая (03.11.1984)/34</t>
  </si>
  <si>
    <t>73,00</t>
  </si>
  <si>
    <t>Селищев Антон</t>
  </si>
  <si>
    <t>2. Селищев Антон</t>
  </si>
  <si>
    <t>Открытая (23.01.1991)/28</t>
  </si>
  <si>
    <t>71,80</t>
  </si>
  <si>
    <t>Сидоркин Александр</t>
  </si>
  <si>
    <t>3. Сидоркин Александр</t>
  </si>
  <si>
    <t>Открытая (10.11.1986)/32</t>
  </si>
  <si>
    <t>73,50</t>
  </si>
  <si>
    <t>122,5</t>
  </si>
  <si>
    <t>Ткаченко Виталий</t>
  </si>
  <si>
    <t>4. Ткаченко Виталий</t>
  </si>
  <si>
    <t>Открытая (01.12.1980)/38</t>
  </si>
  <si>
    <t>72,70</t>
  </si>
  <si>
    <t xml:space="preserve">Ростов-на-Дону/Ростовская область </t>
  </si>
  <si>
    <t>5. Дмитренко Андрей</t>
  </si>
  <si>
    <t>Открытая (22.07.1988)/31</t>
  </si>
  <si>
    <t>74,20</t>
  </si>
  <si>
    <t>Сычёв Денис</t>
  </si>
  <si>
    <t>6. Сычёв Денис</t>
  </si>
  <si>
    <t>Открытая (23.02.1990)/29</t>
  </si>
  <si>
    <t>73,20</t>
  </si>
  <si>
    <t xml:space="preserve">Химки/Московская область </t>
  </si>
  <si>
    <t>Погосов Александр</t>
  </si>
  <si>
    <t>1. Погосов Александр</t>
  </si>
  <si>
    <t>Юноши 16 - 17 (25.08.2002)/16</t>
  </si>
  <si>
    <t>76,80</t>
  </si>
  <si>
    <t>Сокол Андрей</t>
  </si>
  <si>
    <t>1. Сокол Андрей</t>
  </si>
  <si>
    <t>Открытая (22.05.1987)/32</t>
  </si>
  <si>
    <t>78,90</t>
  </si>
  <si>
    <t>137,5</t>
  </si>
  <si>
    <t>Марценюк Иван</t>
  </si>
  <si>
    <t>2. Марценюк Иван</t>
  </si>
  <si>
    <t>Открытая (19.02.1988)/31</t>
  </si>
  <si>
    <t>81,30</t>
  </si>
  <si>
    <t>132,5</t>
  </si>
  <si>
    <t>Ермолин Александр</t>
  </si>
  <si>
    <t>3. Ермолин Александр</t>
  </si>
  <si>
    <t>Открытая (05.03.1984)/35</t>
  </si>
  <si>
    <t>80,80</t>
  </si>
  <si>
    <t>Белов Михаил</t>
  </si>
  <si>
    <t>4. Белов Михаил</t>
  </si>
  <si>
    <t>Открытая (09.12.1991)/27</t>
  </si>
  <si>
    <t>81,60</t>
  </si>
  <si>
    <t>Саенков Владимир</t>
  </si>
  <si>
    <t>-. Саенков Владимир</t>
  </si>
  <si>
    <t>Открытая (24.03.1959)/60</t>
  </si>
  <si>
    <t>80,30</t>
  </si>
  <si>
    <t>-. Буслаев Сергей</t>
  </si>
  <si>
    <t>Открытая (09.07.1991)/28</t>
  </si>
  <si>
    <t>80,60</t>
  </si>
  <si>
    <t xml:space="preserve">Балашиха/Московская область </t>
  </si>
  <si>
    <t>-. Чесноков Виктор</t>
  </si>
  <si>
    <t>Открытая (15.09.1985)/33</t>
  </si>
  <si>
    <t>80,70</t>
  </si>
  <si>
    <t xml:space="preserve">Фрязино/Московская область </t>
  </si>
  <si>
    <t>Иванов Алексей</t>
  </si>
  <si>
    <t>1. Иванов Алексей</t>
  </si>
  <si>
    <t>Открытая (30.06.1982)/37</t>
  </si>
  <si>
    <t>88,80</t>
  </si>
  <si>
    <t xml:space="preserve">Сургут/Ханты-Мансийский авт. окр. </t>
  </si>
  <si>
    <t xml:space="preserve">Шмидт В.Е. </t>
  </si>
  <si>
    <t>Бирюков Никита</t>
  </si>
  <si>
    <t>2. Бирюков Никита</t>
  </si>
  <si>
    <t>Открытая (09.08.1992)/26</t>
  </si>
  <si>
    <t>88,50</t>
  </si>
  <si>
    <t xml:space="preserve">Зеленоград/Московская </t>
  </si>
  <si>
    <t>157,5</t>
  </si>
  <si>
    <t>Махтей Виктор</t>
  </si>
  <si>
    <t>3. Махтей Виктор</t>
  </si>
  <si>
    <t>Открытая (05.10.1984)/34</t>
  </si>
  <si>
    <t>88,60</t>
  </si>
  <si>
    <t xml:space="preserve">Обнинск/Калужская область </t>
  </si>
  <si>
    <t>Илюшин Николай</t>
  </si>
  <si>
    <t>4. Илюшин Николай</t>
  </si>
  <si>
    <t>Открытая (07.04.1992)/27</t>
  </si>
  <si>
    <t>83,10</t>
  </si>
  <si>
    <t>5. Соловьев Евгений</t>
  </si>
  <si>
    <t>Открытая (07.07.1989)/30</t>
  </si>
  <si>
    <t>88,70</t>
  </si>
  <si>
    <t>-. Реус Виталий</t>
  </si>
  <si>
    <t>Открытая (15.06.1987)/32</t>
  </si>
  <si>
    <t>84,00</t>
  </si>
  <si>
    <t>Жбанков Сергей</t>
  </si>
  <si>
    <t>-. Жбанков Сергей</t>
  </si>
  <si>
    <t>Открытая (20.05.1984)/35</t>
  </si>
  <si>
    <t>89,30</t>
  </si>
  <si>
    <t>Хорхордин Игорь</t>
  </si>
  <si>
    <t>1. Хорхордин Игорь</t>
  </si>
  <si>
    <t>89,70</t>
  </si>
  <si>
    <t>Лашин Владимир</t>
  </si>
  <si>
    <t>1. Лашин Владимир</t>
  </si>
  <si>
    <t xml:space="preserve">Серпухов/Московская область </t>
  </si>
  <si>
    <t>Вержановский Артем</t>
  </si>
  <si>
    <t>1. Вержановский Артем</t>
  </si>
  <si>
    <t>Юноши 16 - 17 (24.10.2002)/16</t>
  </si>
  <si>
    <t>92,20</t>
  </si>
  <si>
    <t>Белов Антон</t>
  </si>
  <si>
    <t>1. Белов Антон</t>
  </si>
  <si>
    <t>Открытая (24.03.1985)/34</t>
  </si>
  <si>
    <t>96,50</t>
  </si>
  <si>
    <t>Шустов Алексей</t>
  </si>
  <si>
    <t>2. Шустов Алексей</t>
  </si>
  <si>
    <t>Открытая (19.10.1985)/33</t>
  </si>
  <si>
    <t>96,90</t>
  </si>
  <si>
    <t xml:space="preserve">Мытищи/Московская область </t>
  </si>
  <si>
    <t>Грибков Игорь</t>
  </si>
  <si>
    <t>3. Грибков Игорь</t>
  </si>
  <si>
    <t>Открытая (12.11.1979)/39</t>
  </si>
  <si>
    <t xml:space="preserve">СССР Химки </t>
  </si>
  <si>
    <t>Кулагин Дмитрий</t>
  </si>
  <si>
    <t>4. Кулагин Дмитрий</t>
  </si>
  <si>
    <t>Открытая (07.06.1989)/30</t>
  </si>
  <si>
    <t>99,50</t>
  </si>
  <si>
    <t>5. Панкратов Алексей</t>
  </si>
  <si>
    <t>6. Антипин Алексей</t>
  </si>
  <si>
    <t>Открытая (14.04.1987)/32</t>
  </si>
  <si>
    <t>94,60</t>
  </si>
  <si>
    <t>Синявский Кирилл</t>
  </si>
  <si>
    <t>-. Синявский Кирилл</t>
  </si>
  <si>
    <t>Открытая (18.10.1982)/36</t>
  </si>
  <si>
    <t>96,20</t>
  </si>
  <si>
    <t>Копылов Андрей</t>
  </si>
  <si>
    <t>1. Копылов Андрей</t>
  </si>
  <si>
    <t>Смирнов Леонид</t>
  </si>
  <si>
    <t>1. Смирнов Леонид</t>
  </si>
  <si>
    <t>93,70</t>
  </si>
  <si>
    <t>Беспаленко Артем</t>
  </si>
  <si>
    <t>1. Беспаленко Артем</t>
  </si>
  <si>
    <t>Открытая (21.03.1990)/29</t>
  </si>
  <si>
    <t>108,40</t>
  </si>
  <si>
    <t>Мищенко Сергей</t>
  </si>
  <si>
    <t>2. Мищенко Сергей</t>
  </si>
  <si>
    <t>Открытая (21.07.1988)/31</t>
  </si>
  <si>
    <t>108,30</t>
  </si>
  <si>
    <t xml:space="preserve">Харьков/ </t>
  </si>
  <si>
    <t>Киреев Дмитрий</t>
  </si>
  <si>
    <t>1. Киреев Дмитрий</t>
  </si>
  <si>
    <t>107,80</t>
  </si>
  <si>
    <t>Корзинкин Вадим</t>
  </si>
  <si>
    <t>1. Корзинкин Вадим</t>
  </si>
  <si>
    <t>Открытая (26.03.1983)/36</t>
  </si>
  <si>
    <t>116,60</t>
  </si>
  <si>
    <t>Бычков Игорь</t>
  </si>
  <si>
    <t>1. Бычков Игорь</t>
  </si>
  <si>
    <t>118,00</t>
  </si>
  <si>
    <t xml:space="preserve">Динамо-32 - ОСН Сатурн </t>
  </si>
  <si>
    <t>Чубаров Владимир</t>
  </si>
  <si>
    <t>1. Чубаров Владимир</t>
  </si>
  <si>
    <t>124,60</t>
  </si>
  <si>
    <t xml:space="preserve">Девушки </t>
  </si>
  <si>
    <t>47,9385</t>
  </si>
  <si>
    <t>64,7080</t>
  </si>
  <si>
    <t>104,6797</t>
  </si>
  <si>
    <t>51,9173</t>
  </si>
  <si>
    <t>50,3785</t>
  </si>
  <si>
    <t>52</t>
  </si>
  <si>
    <t>47,8720</t>
  </si>
  <si>
    <t>68,3566</t>
  </si>
  <si>
    <t xml:space="preserve">Юноши 16 - 17 </t>
  </si>
  <si>
    <t>88,0486</t>
  </si>
  <si>
    <t>67,5222</t>
  </si>
  <si>
    <t>63,4200</t>
  </si>
  <si>
    <t>43,9888</t>
  </si>
  <si>
    <t>87,3506</t>
  </si>
  <si>
    <t>86,3449</t>
  </si>
  <si>
    <t>110,4350</t>
  </si>
  <si>
    <t>109,2425</t>
  </si>
  <si>
    <t>104,7965</t>
  </si>
  <si>
    <t>104,4972</t>
  </si>
  <si>
    <t>104,1625</t>
  </si>
  <si>
    <t>103,1450</t>
  </si>
  <si>
    <t>102,4650</t>
  </si>
  <si>
    <t>100,3762</t>
  </si>
  <si>
    <t>97,2920</t>
  </si>
  <si>
    <t>94,8578</t>
  </si>
  <si>
    <t>94,6342</t>
  </si>
  <si>
    <t>94,1382</t>
  </si>
  <si>
    <t>92,8787</t>
  </si>
  <si>
    <t>91,4280</t>
  </si>
  <si>
    <t>91,0082</t>
  </si>
  <si>
    <t>90,4000</t>
  </si>
  <si>
    <t>90,2952</t>
  </si>
  <si>
    <t>88,9625</t>
  </si>
  <si>
    <t>87,8580</t>
  </si>
  <si>
    <t>85,6275</t>
  </si>
  <si>
    <t>84,5820</t>
  </si>
  <si>
    <t>83,3149</t>
  </si>
  <si>
    <t>82,7794</t>
  </si>
  <si>
    <t>82,7540</t>
  </si>
  <si>
    <t>110,3400</t>
  </si>
  <si>
    <t>108,9071</t>
  </si>
  <si>
    <t>105,4807</t>
  </si>
  <si>
    <t>104,6331</t>
  </si>
  <si>
    <t>103,0370</t>
  </si>
  <si>
    <t>99,0219</t>
  </si>
  <si>
    <t>96,1425</t>
  </si>
  <si>
    <t>68,9784</t>
  </si>
  <si>
    <t>Мужичкова Наталья</t>
  </si>
  <si>
    <t>1. Мужичкова Наталья</t>
  </si>
  <si>
    <t>Открытая (22.08.1990)/28</t>
  </si>
  <si>
    <t>59,20</t>
  </si>
  <si>
    <t>Курдюкова Екатерина</t>
  </si>
  <si>
    <t>1. Курдюкова Екатерина</t>
  </si>
  <si>
    <t>Открытая (07.10.1981)/37</t>
  </si>
  <si>
    <t>81,00</t>
  </si>
  <si>
    <t>-. Корчинский Василий</t>
  </si>
  <si>
    <t>Открытая (26.07.1981)/38</t>
  </si>
  <si>
    <t>99,30</t>
  </si>
  <si>
    <t>1. Мищенко Сергей</t>
  </si>
  <si>
    <t>Суворов Юрий</t>
  </si>
  <si>
    <t>1. Суворов Юрий</t>
  </si>
  <si>
    <t>ВЕСОВАЯ КАТЕГОРИЯ   140</t>
  </si>
  <si>
    <t>Демидов Дмитрий</t>
  </si>
  <si>
    <t>1. Демидов Дмитрий</t>
  </si>
  <si>
    <t>Открытая (04.10.1998)/20</t>
  </si>
  <si>
    <t>131,30</t>
  </si>
  <si>
    <t>310,0</t>
  </si>
  <si>
    <t>315,0</t>
  </si>
  <si>
    <t>322,5</t>
  </si>
  <si>
    <t>83,5327</t>
  </si>
  <si>
    <t>79,8680</t>
  </si>
  <si>
    <t>140</t>
  </si>
  <si>
    <t>173,8404</t>
  </si>
  <si>
    <t>56,5000</t>
  </si>
  <si>
    <t>120,4128</t>
  </si>
  <si>
    <t>Щеславский Станислав</t>
  </si>
  <si>
    <t>1. Щеславский Станислав</t>
  </si>
  <si>
    <t>Открытая (15.04.1981)/38</t>
  </si>
  <si>
    <t>98,90</t>
  </si>
  <si>
    <t>252,5</t>
  </si>
  <si>
    <t>153,3131</t>
  </si>
  <si>
    <t>ВЕСОВАЯ КАТЕГОРИЯ   48</t>
  </si>
  <si>
    <t>Петушкова Светлана</t>
  </si>
  <si>
    <t>1. Петушкова Светлана</t>
  </si>
  <si>
    <t>Открытая (18.09.1984)/34</t>
  </si>
  <si>
    <t>45,70</t>
  </si>
  <si>
    <t xml:space="preserve">Казань/Татарстан </t>
  </si>
  <si>
    <t>Соле Анастасия</t>
  </si>
  <si>
    <t>1. Соле Анастасия</t>
  </si>
  <si>
    <t>Открытая (12.03.1980)/39</t>
  </si>
  <si>
    <t>56,40</t>
  </si>
  <si>
    <t>Усович Юлия</t>
  </si>
  <si>
    <t>1. Усович Юлия</t>
  </si>
  <si>
    <t>Открытая (03.01.1989)/30</t>
  </si>
  <si>
    <t>61,50</t>
  </si>
  <si>
    <t>Зубков Павел</t>
  </si>
  <si>
    <t>1. Зубков Павел</t>
  </si>
  <si>
    <t>Открытая (22.12.1985)/33</t>
  </si>
  <si>
    <t>81,50</t>
  </si>
  <si>
    <t>292,5</t>
  </si>
  <si>
    <t>302,5</t>
  </si>
  <si>
    <t>Чернеля Михаил</t>
  </si>
  <si>
    <t>2. Чернеля Михаил</t>
  </si>
  <si>
    <t>Открытая (27.08.1985)/33</t>
  </si>
  <si>
    <t>80,50</t>
  </si>
  <si>
    <t>Корниленко Александр</t>
  </si>
  <si>
    <t>1. Корниленко Александр</t>
  </si>
  <si>
    <t>88,30</t>
  </si>
  <si>
    <t>Павлов Сергей</t>
  </si>
  <si>
    <t>1. Павлов Сергей</t>
  </si>
  <si>
    <t>Открытая (30.05.1985)/34</t>
  </si>
  <si>
    <t>93,60</t>
  </si>
  <si>
    <t>280,0</t>
  </si>
  <si>
    <t>Катушенко Николай</t>
  </si>
  <si>
    <t>2. Катушенко Николай</t>
  </si>
  <si>
    <t>Открытая (30.05.1982)/37</t>
  </si>
  <si>
    <t>Виноградов Олег</t>
  </si>
  <si>
    <t>1. Виноградов Олег</t>
  </si>
  <si>
    <t>102,70</t>
  </si>
  <si>
    <t>312,5</t>
  </si>
  <si>
    <t>342,5</t>
  </si>
  <si>
    <t>48</t>
  </si>
  <si>
    <t>152,9375</t>
  </si>
  <si>
    <t>106,5130</t>
  </si>
  <si>
    <t>103,8000</t>
  </si>
  <si>
    <t>196,5494</t>
  </si>
  <si>
    <t>179,7656</t>
  </si>
  <si>
    <t>167,8040</t>
  </si>
  <si>
    <t>140,9160</t>
  </si>
  <si>
    <t>111,3585</t>
  </si>
  <si>
    <t>228,5846</t>
  </si>
  <si>
    <t>156,9747</t>
  </si>
  <si>
    <t>140,2768</t>
  </si>
  <si>
    <t>Чернеля Ольга</t>
  </si>
  <si>
    <t>1. Чернеля Ольга</t>
  </si>
  <si>
    <t>Открытая (27.08.1988)/30</t>
  </si>
  <si>
    <t>Григорьева Наталия</t>
  </si>
  <si>
    <t>2. Григорьева Наталия</t>
  </si>
  <si>
    <t>Открытая (01.02.1983)/36</t>
  </si>
  <si>
    <t>57,50</t>
  </si>
  <si>
    <t>Орлова Любовь</t>
  </si>
  <si>
    <t>1. Орлова Любовь</t>
  </si>
  <si>
    <t>59,70</t>
  </si>
  <si>
    <t>Крупин Антон</t>
  </si>
  <si>
    <t>1. Крупин Антон</t>
  </si>
  <si>
    <t>Юниоры 20 - 23 (20.09.1995)/23</t>
  </si>
  <si>
    <t>Копылов Сергей</t>
  </si>
  <si>
    <t>1. Копылов Сергей</t>
  </si>
  <si>
    <t>Открытая (27.10.1989)/29</t>
  </si>
  <si>
    <t>72,20</t>
  </si>
  <si>
    <t xml:space="preserve">Пятигорск/Ставропольский край </t>
  </si>
  <si>
    <t>212,5</t>
  </si>
  <si>
    <t>Капнин Роман</t>
  </si>
  <si>
    <t>2. Капнин Роман</t>
  </si>
  <si>
    <t>Открытая (06.05.1983)/36</t>
  </si>
  <si>
    <t>71,40</t>
  </si>
  <si>
    <t>Здрадовский Никита</t>
  </si>
  <si>
    <t>3. Здрадовский Никита</t>
  </si>
  <si>
    <t>Открытая (17.06.1995)/24</t>
  </si>
  <si>
    <t>74,40</t>
  </si>
  <si>
    <t>4. Сычёв Денис</t>
  </si>
  <si>
    <t>Поляков Александр</t>
  </si>
  <si>
    <t>1. Поляков Александр</t>
  </si>
  <si>
    <t>Открытая (06.11.1986)/32</t>
  </si>
  <si>
    <t>81,40</t>
  </si>
  <si>
    <t>267,5</t>
  </si>
  <si>
    <t>2. Панкратов Алексей</t>
  </si>
  <si>
    <t>3. Кулагин Дмитрий</t>
  </si>
  <si>
    <t>4. Синявский Кирилл</t>
  </si>
  <si>
    <t>Кислицын Иван</t>
  </si>
  <si>
    <t>1. Кислицын Иван</t>
  </si>
  <si>
    <t>Юноши 13 - 15 (10.12.2003)/15</t>
  </si>
  <si>
    <t>106,80</t>
  </si>
  <si>
    <t>207,5</t>
  </si>
  <si>
    <t>Машошин Олег</t>
  </si>
  <si>
    <t>1. Машошин Олег</t>
  </si>
  <si>
    <t>Открытая (21.02.1983)/36</t>
  </si>
  <si>
    <t>105,40</t>
  </si>
  <si>
    <t>247,5</t>
  </si>
  <si>
    <t>257,5</t>
  </si>
  <si>
    <t>Марутян Степан</t>
  </si>
  <si>
    <t>2. Марутян Степан</t>
  </si>
  <si>
    <t>Открытая (27.03.1995)/24</t>
  </si>
  <si>
    <t>120,70</t>
  </si>
  <si>
    <t>115,7475</t>
  </si>
  <si>
    <t>102,2000</t>
  </si>
  <si>
    <t>77,2556</t>
  </si>
  <si>
    <t>102,1410</t>
  </si>
  <si>
    <t>74,4425</t>
  </si>
  <si>
    <t>125,8200</t>
  </si>
  <si>
    <t>157,9587</t>
  </si>
  <si>
    <t>150,5881</t>
  </si>
  <si>
    <t>149,5575</t>
  </si>
  <si>
    <t>142,7837</t>
  </si>
  <si>
    <t>140,3137</t>
  </si>
  <si>
    <t>128,6730</t>
  </si>
  <si>
    <t>125,6087</t>
  </si>
  <si>
    <t>125,3890</t>
  </si>
  <si>
    <t>122,9454</t>
  </si>
  <si>
    <t>122,3355</t>
  </si>
  <si>
    <t>119,7585</t>
  </si>
  <si>
    <t>101,6668</t>
  </si>
  <si>
    <t>Енина Елена</t>
  </si>
  <si>
    <t>1. Енина Елена</t>
  </si>
  <si>
    <t>Открытая (10.05.1989)/30</t>
  </si>
  <si>
    <t>51,60</t>
  </si>
  <si>
    <t xml:space="preserve">Курская </t>
  </si>
  <si>
    <t xml:space="preserve">Курск/Курская область </t>
  </si>
  <si>
    <t>178,3040</t>
  </si>
  <si>
    <t>17,0</t>
  </si>
  <si>
    <t>Чагаев Руслан</t>
  </si>
  <si>
    <t>1. Чагаев Руслан</t>
  </si>
  <si>
    <t>Юниоры 20 - 23 (17.03.1996)/23</t>
  </si>
  <si>
    <t>85,20</t>
  </si>
  <si>
    <t>29,0</t>
  </si>
  <si>
    <t>49,0</t>
  </si>
  <si>
    <t>Гайнуллин Рубин</t>
  </si>
  <si>
    <t>1. Гайнуллин Рубин</t>
  </si>
  <si>
    <t>Открытая (27.12.1989)/29</t>
  </si>
  <si>
    <t xml:space="preserve">Набережные Челны/Татарстан </t>
  </si>
  <si>
    <t>38,0</t>
  </si>
  <si>
    <t>Дыкин Михаил</t>
  </si>
  <si>
    <t>1. Дыкин Михаил</t>
  </si>
  <si>
    <t>94,80</t>
  </si>
  <si>
    <t>25,0</t>
  </si>
  <si>
    <t>39,0</t>
  </si>
  <si>
    <t>Данников Юрий</t>
  </si>
  <si>
    <t>2. Данников Юрий</t>
  </si>
  <si>
    <t>Открытая (04.12.1974)/44</t>
  </si>
  <si>
    <t>102,30</t>
  </si>
  <si>
    <t xml:space="preserve">Щебекино/Белгородская обл </t>
  </si>
  <si>
    <t>37,0</t>
  </si>
  <si>
    <t>1. Данников Юрий</t>
  </si>
  <si>
    <t>Голота Виктор</t>
  </si>
  <si>
    <t>1. Голота Виктор</t>
  </si>
  <si>
    <t>111,10</t>
  </si>
  <si>
    <t>20,0</t>
  </si>
  <si>
    <t>1105,0</t>
  </si>
  <si>
    <t>1043,0095</t>
  </si>
  <si>
    <t>2537,5</t>
  </si>
  <si>
    <t>1602,9387</t>
  </si>
  <si>
    <t>4410,0</t>
  </si>
  <si>
    <t>2698,2586</t>
  </si>
  <si>
    <t>4192,5</t>
  </si>
  <si>
    <t>2374,8416</t>
  </si>
  <si>
    <t>3705,0</t>
  </si>
  <si>
    <t>2191,1371</t>
  </si>
  <si>
    <t>3792,5</t>
  </si>
  <si>
    <t>2184,6696</t>
  </si>
  <si>
    <t>2278,6104</t>
  </si>
  <si>
    <t>2375,0</t>
  </si>
  <si>
    <t>1530,2861</t>
  </si>
  <si>
    <t>2250,0</t>
  </si>
  <si>
    <t>1331,5550</t>
  </si>
  <si>
    <t>Жим мн. повт.</t>
  </si>
  <si>
    <t>Вес</t>
  </si>
  <si>
    <t>Повторы</t>
  </si>
  <si>
    <t>Тоннаж</t>
  </si>
  <si>
    <t>28,0</t>
  </si>
  <si>
    <t>Ложешников Сергей</t>
  </si>
  <si>
    <t>1. Ложешников Сергей</t>
  </si>
  <si>
    <t>Открытая (09.07.1978)/41</t>
  </si>
  <si>
    <t>65,80</t>
  </si>
  <si>
    <t>33,0</t>
  </si>
  <si>
    <t>Рубичев Дмитрий</t>
  </si>
  <si>
    <t>1. Рубичев Дмитрий</t>
  </si>
  <si>
    <t>Открытая (29.01.1973)/46</t>
  </si>
  <si>
    <t>68,70</t>
  </si>
  <si>
    <t>2. Игнатов Дмитрий</t>
  </si>
  <si>
    <t>1. Саенков Владимир</t>
  </si>
  <si>
    <t>23,0</t>
  </si>
  <si>
    <t>Андрюхин Сергей</t>
  </si>
  <si>
    <t>1. Андрюхин Сергей</t>
  </si>
  <si>
    <t>24,0</t>
  </si>
  <si>
    <t>Коромыслов Сергей</t>
  </si>
  <si>
    <t>1. Коромыслов Сергей</t>
  </si>
  <si>
    <t>Открытая (19.12.1991)/27</t>
  </si>
  <si>
    <t>83,50</t>
  </si>
  <si>
    <t>2. Жбанков Сергей</t>
  </si>
  <si>
    <t>21,0</t>
  </si>
  <si>
    <t>Тафара Стефан</t>
  </si>
  <si>
    <t>3. Тафара Стефан</t>
  </si>
  <si>
    <t>Открытая (21.08.1986)/32</t>
  </si>
  <si>
    <t>13,0</t>
  </si>
  <si>
    <t>Степанов Игорь</t>
  </si>
  <si>
    <t>1. Степанов Игорь</t>
  </si>
  <si>
    <t>Открытая (08.07.1981)/38</t>
  </si>
  <si>
    <t>91,60</t>
  </si>
  <si>
    <t xml:space="preserve">Североморск/Мурманская область </t>
  </si>
  <si>
    <t>18,0</t>
  </si>
  <si>
    <t>10,0</t>
  </si>
  <si>
    <t>14,0</t>
  </si>
  <si>
    <t>1680,0</t>
  </si>
  <si>
    <t>1674,8760</t>
  </si>
  <si>
    <t>2450,0</t>
  </si>
  <si>
    <t>1806,7525</t>
  </si>
  <si>
    <t>2227,5</t>
  </si>
  <si>
    <t>1704,1489</t>
  </si>
  <si>
    <t>2550,0</t>
  </si>
  <si>
    <t>1631,1075</t>
  </si>
  <si>
    <t>1580,9625</t>
  </si>
  <si>
    <t>1897,5</t>
  </si>
  <si>
    <t>1245,0446</t>
  </si>
  <si>
    <t>1890,0</t>
  </si>
  <si>
    <t>1161,4995</t>
  </si>
  <si>
    <t>1665,0</t>
  </si>
  <si>
    <t>1009,0733</t>
  </si>
  <si>
    <t>1170,0</t>
  </si>
  <si>
    <t>721,2465</t>
  </si>
  <si>
    <t>1929,6117</t>
  </si>
  <si>
    <t>1980,0</t>
  </si>
  <si>
    <t>1774,6757</t>
  </si>
  <si>
    <t>1721,1904</t>
  </si>
  <si>
    <t>2310,0</t>
  </si>
  <si>
    <t>1454,6888</t>
  </si>
  <si>
    <t>1750,0</t>
  </si>
  <si>
    <t>1170,2731</t>
  </si>
  <si>
    <t>950,0</t>
  </si>
  <si>
    <t>777,3223</t>
  </si>
  <si>
    <t>Ершова Евгения</t>
  </si>
  <si>
    <t>1. Ершова Евгения</t>
  </si>
  <si>
    <t>Открытая (28.03.1992)/27</t>
  </si>
  <si>
    <t>60,90</t>
  </si>
  <si>
    <t>780,0</t>
  </si>
  <si>
    <t>761,2020</t>
  </si>
  <si>
    <t>Чемпионат Москвы
WPC пауэрлифтинг без экипировки
Москва 27 - 28 июля 2019 г.</t>
  </si>
  <si>
    <t>Чемпионат Москвы
AWPC пауэрлифтинг классичесический
Москва 27 - 28 июля 2019 г.</t>
  </si>
  <si>
    <t>Чемпионат Москвы
AWPC пауэрлифтинг без экипировки
Москва 27 - 28 июля 2019 г.</t>
  </si>
  <si>
    <t>Ветераны 40 - 44 (23.11.1975)/43</t>
  </si>
  <si>
    <t>Чемпионат Москвы
WPC Жим лежа в стандартной софт экипировке
Москва 27 - 28 июля 2019 г.</t>
  </si>
  <si>
    <t>Чемпионат Москвы
WPC жим лежа без экипировки
Москва 27 - 28 июля 2019 г.</t>
  </si>
  <si>
    <t>Ветерны 55 - 59 (05.06.1963)/56</t>
  </si>
  <si>
    <t>Ветераны 50 - 54 (27.07.1964)/55</t>
  </si>
  <si>
    <t>Ветераны 45 - 49 (05.03.1971)/48</t>
  </si>
  <si>
    <t>Ветераны 70 - 74 (10.09.1946)/72</t>
  </si>
  <si>
    <t>Ветераны 40 - 44 (02.05.1976)/43</t>
  </si>
  <si>
    <t>Чемпионат Москвы
WPC пауэрлифтинг классичесический
Москва 27 - 28 июля 2019 г.</t>
  </si>
  <si>
    <t>Ветераны 40 - 44 (21.02.1977)/42</t>
  </si>
  <si>
    <t>Чемпионат Москвы
WPC Народный жим (1/2 вес)
Москва 27 - 28 июля 2019 г.</t>
  </si>
  <si>
    <t>Чемпионат Москвы
AWPC Народный жим (1 вес)
Москва 27 - 28 июля 2019 г.</t>
  </si>
  <si>
    <t>Ветераны 40 - 49 (09.07.1978)/41</t>
  </si>
  <si>
    <t>Ветераны 40 - 49 (29.01.1973)/46</t>
  </si>
  <si>
    <t>Ветераны 60+ (08.01.1958)/61</t>
  </si>
  <si>
    <t>Ветераны 60+ (26.09.1957)/61</t>
  </si>
  <si>
    <t>Ветераны 40 - 49 (25.08.1969)/49</t>
  </si>
  <si>
    <t>Ветераны 50 - 59 (03.04.1964)/55</t>
  </si>
  <si>
    <t>Чемпионат Москвы
WPC Народный жим (1 вес)
Москва 27 - 28 июля 2019 г.</t>
  </si>
  <si>
    <t>Ветераны 40 - 49 (07.11.1971)/47</t>
  </si>
  <si>
    <t>Ветераны 40 - 49 (04.12.1974)/44</t>
  </si>
  <si>
    <t>Ветернаны 40 - 49 (28.02.1974)/45</t>
  </si>
  <si>
    <t>Чемпионат Москвы
AWPC тяга становая в однослойной экипировке
Москва 27 - 28 июля 2019 г.</t>
  </si>
  <si>
    <t>Чемпионат Москвы
AWPC тяга становая без экипировки
Москва 27 - 28 июля 2019 г.</t>
  </si>
  <si>
    <t>Ветераны 45 - 49 (07.08.1969)/49</t>
  </si>
  <si>
    <t>Чемпионат Москвы
WPC тяга становая без экипировки
Москва 27 - 28 июля 2019 г.</t>
  </si>
  <si>
    <t>Ветераны 40 - 44 (27.09.1975)/43</t>
  </si>
  <si>
    <t xml:space="preserve">Ветераны 70 - 74 </t>
  </si>
  <si>
    <t xml:space="preserve">Ветераны 45 - 49 </t>
  </si>
  <si>
    <t xml:space="preserve">Ветераны 40 - 44 </t>
  </si>
  <si>
    <t>Чемпионат Москвы
AWPC Жим лежа в многослойной софт экипировке
Москва 27 - 28 июля 2019 г.</t>
  </si>
  <si>
    <t>Чемпионат Москвы
AWPC Жим лежа в стандартной софт экипировке
Москва 27 - 28 июля 2019 г.</t>
  </si>
  <si>
    <t>Ветераны 50 - 54 (22.11.1965)/53</t>
  </si>
  <si>
    <t xml:space="preserve">Ветераны </t>
  </si>
  <si>
    <t xml:space="preserve">Ветераны 50 - 54 </t>
  </si>
  <si>
    <t>Чемпионат Москвы
AWPC жим лежа без экипировки
Москва 27 - 28 июля 2019 г.</t>
  </si>
  <si>
    <t>Ветераны 40 - 44 (15.11.1975)/43</t>
  </si>
  <si>
    <t>Ветераны 50 - 54 (02.01.1969)/50</t>
  </si>
  <si>
    <t>Ветераны 60 - 64 (24.03.1959)/60</t>
  </si>
  <si>
    <t>Ветераны 55 - 59 (28.03.1960)/59</t>
  </si>
  <si>
    <t>Ветераны 50 - 54 (15.06.1967)/52</t>
  </si>
  <si>
    <t>Ветераны 45 - 49 (14.02.1973)/46</t>
  </si>
  <si>
    <t>Ветераны 60 - 64 (26.09.1957)/61</t>
  </si>
  <si>
    <t>Ветераны 45 - 49 (25.08.1969)/49</t>
  </si>
  <si>
    <t>Ветераны 45 - 49 (18.06.1970)/49</t>
  </si>
  <si>
    <t>Ветераны 55 - 59 (03.04.1964)/55</t>
  </si>
  <si>
    <t>Ветераны</t>
  </si>
  <si>
    <t xml:space="preserve">Ветераны 55 - 59 </t>
  </si>
  <si>
    <t xml:space="preserve">Ветераны 60 - 64 </t>
  </si>
  <si>
    <t xml:space="preserve">Ветераны 40 - 49 </t>
  </si>
  <si>
    <t xml:space="preserve">Ветераны 60+ </t>
  </si>
  <si>
    <t xml:space="preserve">Ветераны 50 - 59 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</si>
</sst>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5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sqref="A1:K2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17.28515625" style="4" bestFit="1" customWidth="1"/>
    <col min="7" max="7" width="4.5703125" style="3" bestFit="1" customWidth="1"/>
    <col min="8" max="8" width="4.5703125" style="31" bestFit="1" customWidth="1"/>
    <col min="9" max="9" width="7.85546875" style="4" bestFit="1" customWidth="1"/>
    <col min="10" max="10" width="8.5703125" style="3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37" t="s">
        <v>967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2.1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6</v>
      </c>
      <c r="C3" s="45" t="s">
        <v>7</v>
      </c>
      <c r="D3" s="47" t="s">
        <v>9</v>
      </c>
      <c r="E3" s="47" t="s">
        <v>4</v>
      </c>
      <c r="F3" s="47" t="s">
        <v>8</v>
      </c>
      <c r="G3" s="47" t="s">
        <v>883</v>
      </c>
      <c r="H3" s="47"/>
      <c r="I3" s="47" t="s">
        <v>886</v>
      </c>
      <c r="J3" s="47" t="s">
        <v>3</v>
      </c>
      <c r="K3" s="49" t="s">
        <v>2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5" t="s">
        <v>884</v>
      </c>
      <c r="H4" s="26" t="s">
        <v>885</v>
      </c>
      <c r="I4" s="46"/>
      <c r="J4" s="46"/>
      <c r="K4" s="50"/>
    </row>
    <row r="5" spans="1:11" ht="15">
      <c r="A5" s="51" t="s">
        <v>13</v>
      </c>
      <c r="B5" s="51"/>
      <c r="C5" s="51"/>
      <c r="D5" s="51"/>
      <c r="E5" s="51"/>
      <c r="F5" s="51"/>
      <c r="G5" s="51"/>
      <c r="H5" s="51"/>
      <c r="I5" s="51"/>
      <c r="J5" s="51"/>
    </row>
    <row r="6" spans="1:11">
      <c r="A6" s="6" t="s">
        <v>949</v>
      </c>
      <c r="B6" s="6" t="s">
        <v>950</v>
      </c>
      <c r="C6" s="6" t="s">
        <v>951</v>
      </c>
      <c r="D6" s="6" t="str">
        <f>"0,9759"</f>
        <v>0,9759</v>
      </c>
      <c r="E6" s="6" t="s">
        <v>32</v>
      </c>
      <c r="F6" s="6" t="s">
        <v>19</v>
      </c>
      <c r="G6" s="8" t="s">
        <v>311</v>
      </c>
      <c r="H6" s="27" t="s">
        <v>902</v>
      </c>
      <c r="I6" s="6" t="str">
        <f>"780,0"</f>
        <v>780,0</v>
      </c>
      <c r="J6" s="8" t="str">
        <f>"761,2020"</f>
        <v>761,2020</v>
      </c>
      <c r="K6" s="6" t="s">
        <v>27</v>
      </c>
    </row>
    <row r="8" spans="1:11" ht="15">
      <c r="E8" s="18" t="s">
        <v>86</v>
      </c>
    </row>
    <row r="9" spans="1:11" ht="15">
      <c r="E9" s="18" t="s">
        <v>87</v>
      </c>
    </row>
    <row r="10" spans="1:11" ht="15">
      <c r="E10" s="18" t="s">
        <v>88</v>
      </c>
    </row>
    <row r="11" spans="1:11" ht="15">
      <c r="E11" s="18" t="s">
        <v>89</v>
      </c>
    </row>
    <row r="12" spans="1:11" ht="15">
      <c r="E12" s="18" t="s">
        <v>89</v>
      </c>
    </row>
    <row r="13" spans="1:11" ht="15">
      <c r="E13" s="18" t="s">
        <v>90</v>
      </c>
    </row>
    <row r="14" spans="1:11" ht="15">
      <c r="E14" s="18"/>
    </row>
    <row r="16" spans="1:11" ht="18">
      <c r="A16" s="19" t="s">
        <v>91</v>
      </c>
      <c r="B16" s="19"/>
    </row>
    <row r="17" spans="1:5" ht="15">
      <c r="A17" s="20" t="s">
        <v>92</v>
      </c>
      <c r="B17" s="20"/>
    </row>
    <row r="18" spans="1:5" ht="14.25">
      <c r="A18" s="22"/>
      <c r="B18" s="23" t="s">
        <v>93</v>
      </c>
    </row>
    <row r="19" spans="1:5" ht="15">
      <c r="A19" s="24" t="s">
        <v>94</v>
      </c>
      <c r="B19" s="24" t="s">
        <v>95</v>
      </c>
      <c r="C19" s="24" t="s">
        <v>96</v>
      </c>
      <c r="D19" s="24" t="s">
        <v>97</v>
      </c>
      <c r="E19" s="24" t="s">
        <v>98</v>
      </c>
    </row>
    <row r="20" spans="1:5">
      <c r="A20" s="21" t="s">
        <v>948</v>
      </c>
      <c r="B20" s="4" t="s">
        <v>93</v>
      </c>
      <c r="C20" s="4" t="s">
        <v>99</v>
      </c>
      <c r="D20" s="4" t="s">
        <v>952</v>
      </c>
      <c r="E20" s="25" t="s">
        <v>953</v>
      </c>
    </row>
  </sheetData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0"/>
  <sheetViews>
    <sheetView topLeftCell="A21" workbookViewId="0">
      <selection sqref="A1:U2"/>
    </sheetView>
  </sheetViews>
  <sheetFormatPr defaultRowHeight="12.75"/>
  <cols>
    <col min="1" max="1" width="26" style="4" bestFit="1" customWidth="1"/>
    <col min="2" max="2" width="27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9.425781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8.85546875" style="4" bestFit="1" customWidth="1"/>
    <col min="22" max="16384" width="9.140625" style="3"/>
  </cols>
  <sheetData>
    <row r="1" spans="1:21" s="2" customFormat="1" ht="29.1" customHeight="1">
      <c r="A1" s="37" t="s">
        <v>955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2.1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s="1" customFormat="1" ht="12.75" customHeight="1">
      <c r="A3" s="43" t="s">
        <v>0</v>
      </c>
      <c r="B3" s="45" t="s">
        <v>6</v>
      </c>
      <c r="C3" s="45" t="s">
        <v>7</v>
      </c>
      <c r="D3" s="47" t="s">
        <v>9</v>
      </c>
      <c r="E3" s="47" t="s">
        <v>4</v>
      </c>
      <c r="F3" s="47" t="s">
        <v>8</v>
      </c>
      <c r="G3" s="47" t="s">
        <v>10</v>
      </c>
      <c r="H3" s="47"/>
      <c r="I3" s="47"/>
      <c r="J3" s="47"/>
      <c r="K3" s="47" t="s">
        <v>11</v>
      </c>
      <c r="L3" s="47"/>
      <c r="M3" s="47"/>
      <c r="N3" s="47"/>
      <c r="O3" s="47" t="s">
        <v>12</v>
      </c>
      <c r="P3" s="47"/>
      <c r="Q3" s="47"/>
      <c r="R3" s="47"/>
      <c r="S3" s="47" t="s">
        <v>1</v>
      </c>
      <c r="T3" s="47" t="s">
        <v>3</v>
      </c>
      <c r="U3" s="49" t="s">
        <v>2</v>
      </c>
    </row>
    <row r="4" spans="1:21" s="1" customFormat="1" ht="21" customHeight="1" thickBot="1">
      <c r="A4" s="44"/>
      <c r="B4" s="46"/>
      <c r="C4" s="46"/>
      <c r="D4" s="46"/>
      <c r="E4" s="46"/>
      <c r="F4" s="46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6"/>
      <c r="T4" s="46"/>
      <c r="U4" s="50"/>
    </row>
    <row r="5" spans="1:21" ht="15">
      <c r="A5" s="51" t="s">
        <v>278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>
      <c r="A6" s="6" t="s">
        <v>372</v>
      </c>
      <c r="B6" s="6" t="s">
        <v>373</v>
      </c>
      <c r="C6" s="6" t="s">
        <v>374</v>
      </c>
      <c r="D6" s="6" t="str">
        <f>"0,8356"</f>
        <v>0,8356</v>
      </c>
      <c r="E6" s="6" t="s">
        <v>18</v>
      </c>
      <c r="F6" s="6" t="s">
        <v>19</v>
      </c>
      <c r="G6" s="8" t="s">
        <v>166</v>
      </c>
      <c r="H6" s="8" t="s">
        <v>167</v>
      </c>
      <c r="I6" s="8" t="s">
        <v>168</v>
      </c>
      <c r="J6" s="7"/>
      <c r="K6" s="8" t="s">
        <v>276</v>
      </c>
      <c r="L6" s="7" t="s">
        <v>277</v>
      </c>
      <c r="M6" s="7" t="s">
        <v>277</v>
      </c>
      <c r="N6" s="7"/>
      <c r="O6" s="8" t="s">
        <v>168</v>
      </c>
      <c r="P6" s="8" t="s">
        <v>289</v>
      </c>
      <c r="Q6" s="8" t="s">
        <v>375</v>
      </c>
      <c r="R6" s="7"/>
      <c r="S6" s="6" t="str">
        <f>"195,0"</f>
        <v>195,0</v>
      </c>
      <c r="T6" s="8" t="str">
        <f>"162,9323"</f>
        <v>162,9323</v>
      </c>
      <c r="U6" s="6" t="s">
        <v>27</v>
      </c>
    </row>
    <row r="8" spans="1:21" ht="15">
      <c r="A8" s="48" t="s">
        <v>13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1">
      <c r="A9" s="6" t="s">
        <v>377</v>
      </c>
      <c r="B9" s="6" t="s">
        <v>378</v>
      </c>
      <c r="C9" s="6" t="s">
        <v>379</v>
      </c>
      <c r="D9" s="6" t="str">
        <f>"0,7590"</f>
        <v>0,7590</v>
      </c>
      <c r="E9" s="6" t="s">
        <v>32</v>
      </c>
      <c r="F9" s="6" t="s">
        <v>380</v>
      </c>
      <c r="G9" s="8" t="s">
        <v>44</v>
      </c>
      <c r="H9" s="7" t="s">
        <v>25</v>
      </c>
      <c r="I9" s="8" t="s">
        <v>187</v>
      </c>
      <c r="J9" s="7"/>
      <c r="K9" s="8" t="s">
        <v>173</v>
      </c>
      <c r="L9" s="7" t="s">
        <v>381</v>
      </c>
      <c r="M9" s="8" t="s">
        <v>381</v>
      </c>
      <c r="N9" s="7"/>
      <c r="O9" s="8" t="s">
        <v>37</v>
      </c>
      <c r="P9" s="8" t="s">
        <v>38</v>
      </c>
      <c r="Q9" s="8" t="s">
        <v>33</v>
      </c>
      <c r="R9" s="7"/>
      <c r="S9" s="6" t="str">
        <f>"472,5"</f>
        <v>472,5</v>
      </c>
      <c r="T9" s="8" t="str">
        <f>"358,6275"</f>
        <v>358,6275</v>
      </c>
      <c r="U9" s="6" t="s">
        <v>27</v>
      </c>
    </row>
    <row r="11" spans="1:21" ht="15">
      <c r="A11" s="48" t="s">
        <v>28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1">
      <c r="A12" s="6" t="s">
        <v>383</v>
      </c>
      <c r="B12" s="6" t="s">
        <v>384</v>
      </c>
      <c r="C12" s="6" t="s">
        <v>385</v>
      </c>
      <c r="D12" s="6" t="str">
        <f>"0,6583"</f>
        <v>0,6583</v>
      </c>
      <c r="E12" s="6" t="s">
        <v>32</v>
      </c>
      <c r="F12" s="6" t="s">
        <v>19</v>
      </c>
      <c r="G12" s="8" t="s">
        <v>25</v>
      </c>
      <c r="H12" s="7" t="s">
        <v>37</v>
      </c>
      <c r="I12" s="8" t="s">
        <v>37</v>
      </c>
      <c r="J12" s="7"/>
      <c r="K12" s="7" t="s">
        <v>35</v>
      </c>
      <c r="L12" s="8" t="s">
        <v>35</v>
      </c>
      <c r="M12" s="7" t="s">
        <v>20</v>
      </c>
      <c r="N12" s="7"/>
      <c r="O12" s="7" t="s">
        <v>26</v>
      </c>
      <c r="P12" s="8" t="s">
        <v>26</v>
      </c>
      <c r="Q12" s="8" t="s">
        <v>38</v>
      </c>
      <c r="R12" s="7"/>
      <c r="S12" s="6" t="str">
        <f>"490,0"</f>
        <v>490,0</v>
      </c>
      <c r="T12" s="8" t="str">
        <f>"322,5915"</f>
        <v>322,5915</v>
      </c>
      <c r="U12" s="6" t="s">
        <v>27</v>
      </c>
    </row>
    <row r="14" spans="1:21" ht="15">
      <c r="A14" s="48" t="s">
        <v>39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1">
      <c r="A15" s="6" t="s">
        <v>387</v>
      </c>
      <c r="B15" s="6" t="s">
        <v>388</v>
      </c>
      <c r="C15" s="6" t="s">
        <v>389</v>
      </c>
      <c r="D15" s="6" t="str">
        <f>"0,6299"</f>
        <v>0,6299</v>
      </c>
      <c r="E15" s="6" t="s">
        <v>32</v>
      </c>
      <c r="F15" s="6" t="s">
        <v>19</v>
      </c>
      <c r="G15" s="7" t="s">
        <v>44</v>
      </c>
      <c r="H15" s="7" t="s">
        <v>44</v>
      </c>
      <c r="I15" s="8" t="s">
        <v>44</v>
      </c>
      <c r="J15" s="7"/>
      <c r="K15" s="8" t="s">
        <v>174</v>
      </c>
      <c r="L15" s="7" t="s">
        <v>45</v>
      </c>
      <c r="M15" s="7" t="s">
        <v>45</v>
      </c>
      <c r="N15" s="7"/>
      <c r="O15" s="8" t="s">
        <v>26</v>
      </c>
      <c r="P15" s="8" t="s">
        <v>37</v>
      </c>
      <c r="Q15" s="7" t="s">
        <v>38</v>
      </c>
      <c r="R15" s="7"/>
      <c r="S15" s="6" t="str">
        <f>"435,0"</f>
        <v>435,0</v>
      </c>
      <c r="T15" s="8" t="str">
        <f>"274,0065"</f>
        <v>274,0065</v>
      </c>
      <c r="U15" s="6" t="s">
        <v>27</v>
      </c>
    </row>
    <row r="17" spans="1:21" ht="15">
      <c r="A17" s="48" t="s">
        <v>46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</row>
    <row r="18" spans="1:21">
      <c r="A18" s="9" t="s">
        <v>391</v>
      </c>
      <c r="B18" s="9" t="s">
        <v>392</v>
      </c>
      <c r="C18" s="9" t="s">
        <v>393</v>
      </c>
      <c r="D18" s="9" t="str">
        <f>"0,5843"</f>
        <v>0,5843</v>
      </c>
      <c r="E18" s="9" t="s">
        <v>32</v>
      </c>
      <c r="F18" s="9" t="s">
        <v>19</v>
      </c>
      <c r="G18" s="10" t="s">
        <v>38</v>
      </c>
      <c r="H18" s="10" t="s">
        <v>33</v>
      </c>
      <c r="I18" s="10" t="s">
        <v>57</v>
      </c>
      <c r="J18" s="11"/>
      <c r="K18" s="10" t="s">
        <v>187</v>
      </c>
      <c r="L18" s="10" t="s">
        <v>26</v>
      </c>
      <c r="M18" s="11" t="s">
        <v>56</v>
      </c>
      <c r="N18" s="11"/>
      <c r="O18" s="10" t="s">
        <v>394</v>
      </c>
      <c r="P18" s="11" t="s">
        <v>53</v>
      </c>
      <c r="Q18" s="10" t="s">
        <v>258</v>
      </c>
      <c r="R18" s="11"/>
      <c r="S18" s="9" t="str">
        <f>"620,0"</f>
        <v>620,0</v>
      </c>
      <c r="T18" s="10" t="str">
        <f>"362,2660"</f>
        <v>362,2660</v>
      </c>
      <c r="U18" s="9" t="s">
        <v>27</v>
      </c>
    </row>
    <row r="19" spans="1:21">
      <c r="A19" s="15" t="s">
        <v>396</v>
      </c>
      <c r="B19" s="15" t="s">
        <v>397</v>
      </c>
      <c r="C19" s="15" t="s">
        <v>398</v>
      </c>
      <c r="D19" s="15" t="str">
        <f>"0,5911"</f>
        <v>0,5911</v>
      </c>
      <c r="E19" s="15" t="s">
        <v>32</v>
      </c>
      <c r="F19" s="15" t="s">
        <v>19</v>
      </c>
      <c r="G19" s="16" t="s">
        <v>38</v>
      </c>
      <c r="H19" s="16" t="s">
        <v>38</v>
      </c>
      <c r="I19" s="16" t="s">
        <v>38</v>
      </c>
      <c r="J19" s="16"/>
      <c r="K19" s="16" t="s">
        <v>35</v>
      </c>
      <c r="L19" s="16"/>
      <c r="M19" s="16"/>
      <c r="N19" s="16"/>
      <c r="O19" s="16" t="s">
        <v>38</v>
      </c>
      <c r="P19" s="16"/>
      <c r="Q19" s="16"/>
      <c r="R19" s="16"/>
      <c r="S19" s="15" t="str">
        <f>"0.00"</f>
        <v>0.00</v>
      </c>
      <c r="T19" s="17" t="str">
        <f>"0,0000"</f>
        <v>0,0000</v>
      </c>
      <c r="U19" s="15" t="s">
        <v>27</v>
      </c>
    </row>
    <row r="21" spans="1:21" ht="15">
      <c r="E21" s="18" t="s">
        <v>86</v>
      </c>
    </row>
    <row r="22" spans="1:21" ht="15">
      <c r="E22" s="18" t="s">
        <v>87</v>
      </c>
    </row>
    <row r="23" spans="1:21" ht="15">
      <c r="E23" s="18" t="s">
        <v>88</v>
      </c>
    </row>
    <row r="24" spans="1:21" ht="15">
      <c r="E24" s="18" t="s">
        <v>89</v>
      </c>
    </row>
    <row r="25" spans="1:21" ht="15">
      <c r="E25" s="18" t="s">
        <v>89</v>
      </c>
    </row>
    <row r="26" spans="1:21" ht="15">
      <c r="E26" s="18" t="s">
        <v>90</v>
      </c>
    </row>
    <row r="27" spans="1:21" ht="15">
      <c r="E27" s="18"/>
    </row>
    <row r="29" spans="1:21" ht="18">
      <c r="A29" s="19" t="s">
        <v>91</v>
      </c>
      <c r="B29" s="19"/>
    </row>
    <row r="30" spans="1:21" ht="15">
      <c r="A30" s="20" t="s">
        <v>102</v>
      </c>
      <c r="B30" s="20"/>
    </row>
    <row r="31" spans="1:21" ht="14.25">
      <c r="A31" s="22"/>
      <c r="B31" s="23" t="s">
        <v>355</v>
      </c>
    </row>
    <row r="32" spans="1:21" ht="15">
      <c r="A32" s="24" t="s">
        <v>94</v>
      </c>
      <c r="B32" s="24" t="s">
        <v>95</v>
      </c>
      <c r="C32" s="24" t="s">
        <v>96</v>
      </c>
      <c r="D32" s="24" t="s">
        <v>97</v>
      </c>
      <c r="E32" s="24" t="s">
        <v>98</v>
      </c>
    </row>
    <row r="33" spans="1:5">
      <c r="A33" s="21" t="s">
        <v>371</v>
      </c>
      <c r="B33" s="4" t="s">
        <v>359</v>
      </c>
      <c r="C33" s="4" t="s">
        <v>344</v>
      </c>
      <c r="D33" s="4" t="s">
        <v>209</v>
      </c>
      <c r="E33" s="25" t="s">
        <v>399</v>
      </c>
    </row>
    <row r="35" spans="1:5" ht="14.25">
      <c r="A35" s="22"/>
      <c r="B35" s="23" t="s">
        <v>93</v>
      </c>
    </row>
    <row r="36" spans="1:5" ht="15">
      <c r="A36" s="24" t="s">
        <v>94</v>
      </c>
      <c r="B36" s="24" t="s">
        <v>95</v>
      </c>
      <c r="C36" s="24" t="s">
        <v>96</v>
      </c>
      <c r="D36" s="24" t="s">
        <v>97</v>
      </c>
      <c r="E36" s="24" t="s">
        <v>98</v>
      </c>
    </row>
    <row r="37" spans="1:5">
      <c r="A37" s="21" t="s">
        <v>390</v>
      </c>
      <c r="B37" s="4" t="s">
        <v>93</v>
      </c>
      <c r="C37" s="4" t="s">
        <v>108</v>
      </c>
      <c r="D37" s="4" t="s">
        <v>400</v>
      </c>
      <c r="E37" s="25" t="s">
        <v>401</v>
      </c>
    </row>
    <row r="38" spans="1:5">
      <c r="A38" s="21" t="s">
        <v>376</v>
      </c>
      <c r="B38" s="4" t="s">
        <v>93</v>
      </c>
      <c r="C38" s="4" t="s">
        <v>99</v>
      </c>
      <c r="D38" s="4" t="s">
        <v>402</v>
      </c>
      <c r="E38" s="25" t="s">
        <v>403</v>
      </c>
    </row>
    <row r="39" spans="1:5">
      <c r="A39" s="21" t="s">
        <v>382</v>
      </c>
      <c r="B39" s="4" t="s">
        <v>93</v>
      </c>
      <c r="C39" s="4" t="s">
        <v>121</v>
      </c>
      <c r="D39" s="4" t="s">
        <v>404</v>
      </c>
      <c r="E39" s="25" t="s">
        <v>405</v>
      </c>
    </row>
    <row r="40" spans="1:5">
      <c r="A40" s="21" t="s">
        <v>386</v>
      </c>
      <c r="B40" s="4" t="s">
        <v>93</v>
      </c>
      <c r="C40" s="4" t="s">
        <v>105</v>
      </c>
      <c r="D40" s="4" t="s">
        <v>406</v>
      </c>
      <c r="E40" s="25" t="s">
        <v>407</v>
      </c>
    </row>
  </sheetData>
  <mergeCells count="18">
    <mergeCell ref="A14:T14"/>
    <mergeCell ref="A17:T17"/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76"/>
  <sheetViews>
    <sheetView topLeftCell="A56" workbookViewId="0">
      <selection activeCell="B61" sqref="B61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8.285156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8.85546875" style="4" bestFit="1" customWidth="1"/>
    <col min="22" max="16384" width="9.140625" style="3"/>
  </cols>
  <sheetData>
    <row r="1" spans="1:21" s="2" customFormat="1" ht="29.1" customHeight="1">
      <c r="A1" s="37" t="s">
        <v>956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2.1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s="1" customFormat="1" ht="12.75" customHeight="1">
      <c r="A3" s="43" t="s">
        <v>0</v>
      </c>
      <c r="B3" s="45" t="s">
        <v>6</v>
      </c>
      <c r="C3" s="45" t="s">
        <v>7</v>
      </c>
      <c r="D3" s="47" t="s">
        <v>9</v>
      </c>
      <c r="E3" s="47" t="s">
        <v>4</v>
      </c>
      <c r="F3" s="47" t="s">
        <v>8</v>
      </c>
      <c r="G3" s="47" t="s">
        <v>10</v>
      </c>
      <c r="H3" s="47"/>
      <c r="I3" s="47"/>
      <c r="J3" s="47"/>
      <c r="K3" s="47" t="s">
        <v>11</v>
      </c>
      <c r="L3" s="47"/>
      <c r="M3" s="47"/>
      <c r="N3" s="47"/>
      <c r="O3" s="47" t="s">
        <v>12</v>
      </c>
      <c r="P3" s="47"/>
      <c r="Q3" s="47"/>
      <c r="R3" s="47"/>
      <c r="S3" s="47" t="s">
        <v>1</v>
      </c>
      <c r="T3" s="47" t="s">
        <v>3</v>
      </c>
      <c r="U3" s="49" t="s">
        <v>2</v>
      </c>
    </row>
    <row r="4" spans="1:21" s="1" customFormat="1" ht="21" customHeight="1" thickBot="1">
      <c r="A4" s="44"/>
      <c r="B4" s="46"/>
      <c r="C4" s="46"/>
      <c r="D4" s="46"/>
      <c r="E4" s="46"/>
      <c r="F4" s="46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6"/>
      <c r="T4" s="46"/>
      <c r="U4" s="50"/>
    </row>
    <row r="5" spans="1:21" ht="15">
      <c r="A5" s="51" t="s">
        <v>263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>
      <c r="A6" s="9" t="s">
        <v>265</v>
      </c>
      <c r="B6" s="9" t="s">
        <v>266</v>
      </c>
      <c r="C6" s="9" t="s">
        <v>267</v>
      </c>
      <c r="D6" s="9" t="str">
        <f>"1,0454"</f>
        <v>1,0454</v>
      </c>
      <c r="E6" s="9" t="s">
        <v>32</v>
      </c>
      <c r="F6" s="9" t="s">
        <v>19</v>
      </c>
      <c r="G6" s="10" t="s">
        <v>23</v>
      </c>
      <c r="H6" s="10" t="s">
        <v>24</v>
      </c>
      <c r="I6" s="11" t="s">
        <v>268</v>
      </c>
      <c r="J6" s="11"/>
      <c r="K6" s="10" t="s">
        <v>129</v>
      </c>
      <c r="L6" s="11" t="s">
        <v>130</v>
      </c>
      <c r="M6" s="10" t="s">
        <v>130</v>
      </c>
      <c r="N6" s="11"/>
      <c r="O6" s="10" t="s">
        <v>23</v>
      </c>
      <c r="P6" s="10" t="s">
        <v>269</v>
      </c>
      <c r="Q6" s="11" t="s">
        <v>174</v>
      </c>
      <c r="R6" s="11"/>
      <c r="S6" s="9" t="str">
        <f>"242,5"</f>
        <v>242,5</v>
      </c>
      <c r="T6" s="10" t="str">
        <f>"253,5095"</f>
        <v>253,5095</v>
      </c>
      <c r="U6" s="9" t="s">
        <v>27</v>
      </c>
    </row>
    <row r="7" spans="1:21">
      <c r="A7" s="15" t="s">
        <v>271</v>
      </c>
      <c r="B7" s="15" t="s">
        <v>272</v>
      </c>
      <c r="C7" s="15" t="s">
        <v>273</v>
      </c>
      <c r="D7" s="15" t="str">
        <f>"1,0514"</f>
        <v>1,0514</v>
      </c>
      <c r="E7" s="15" t="s">
        <v>32</v>
      </c>
      <c r="F7" s="15" t="s">
        <v>19</v>
      </c>
      <c r="G7" s="17" t="s">
        <v>167</v>
      </c>
      <c r="H7" s="17" t="s">
        <v>274</v>
      </c>
      <c r="I7" s="17" t="s">
        <v>275</v>
      </c>
      <c r="J7" s="16"/>
      <c r="K7" s="17" t="s">
        <v>276</v>
      </c>
      <c r="L7" s="17" t="s">
        <v>130</v>
      </c>
      <c r="M7" s="16" t="s">
        <v>277</v>
      </c>
      <c r="N7" s="16"/>
      <c r="O7" s="17" t="s">
        <v>135</v>
      </c>
      <c r="P7" s="16" t="s">
        <v>175</v>
      </c>
      <c r="Q7" s="16" t="s">
        <v>175</v>
      </c>
      <c r="R7" s="16"/>
      <c r="S7" s="15" t="str">
        <f>"210,0"</f>
        <v>210,0</v>
      </c>
      <c r="T7" s="17" t="str">
        <f>"220,7940"</f>
        <v>220,7940</v>
      </c>
      <c r="U7" s="15" t="s">
        <v>27</v>
      </c>
    </row>
    <row r="9" spans="1:21" ht="15">
      <c r="A9" s="48" t="s">
        <v>278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1">
      <c r="A10" s="9" t="s">
        <v>280</v>
      </c>
      <c r="B10" s="9" t="s">
        <v>281</v>
      </c>
      <c r="C10" s="9" t="s">
        <v>282</v>
      </c>
      <c r="D10" s="9" t="str">
        <f>"1,0248"</f>
        <v>1,0248</v>
      </c>
      <c r="E10" s="9" t="s">
        <v>32</v>
      </c>
      <c r="F10" s="9" t="s">
        <v>19</v>
      </c>
      <c r="G10" s="10" t="s">
        <v>22</v>
      </c>
      <c r="H10" s="10" t="s">
        <v>283</v>
      </c>
      <c r="I10" s="10" t="s">
        <v>161</v>
      </c>
      <c r="J10" s="11"/>
      <c r="K10" s="10" t="s">
        <v>131</v>
      </c>
      <c r="L10" s="10" t="s">
        <v>284</v>
      </c>
      <c r="M10" s="11" t="s">
        <v>166</v>
      </c>
      <c r="N10" s="11"/>
      <c r="O10" s="10" t="s">
        <v>45</v>
      </c>
      <c r="P10" s="10" t="s">
        <v>35</v>
      </c>
      <c r="Q10" s="10" t="s">
        <v>20</v>
      </c>
      <c r="R10" s="11"/>
      <c r="S10" s="9" t="str">
        <f>"272,5"</f>
        <v>272,5</v>
      </c>
      <c r="T10" s="10" t="str">
        <f>"279,2580"</f>
        <v>279,2580</v>
      </c>
      <c r="U10" s="9" t="s">
        <v>27</v>
      </c>
    </row>
    <row r="11" spans="1:21">
      <c r="A11" s="15" t="s">
        <v>286</v>
      </c>
      <c r="B11" s="32" t="s">
        <v>957</v>
      </c>
      <c r="C11" s="15" t="s">
        <v>287</v>
      </c>
      <c r="D11" s="15" t="str">
        <f>"1,0292"</f>
        <v>1,0292</v>
      </c>
      <c r="E11" s="15" t="s">
        <v>32</v>
      </c>
      <c r="F11" s="15" t="s">
        <v>288</v>
      </c>
      <c r="G11" s="17" t="s">
        <v>168</v>
      </c>
      <c r="H11" s="17" t="s">
        <v>289</v>
      </c>
      <c r="I11" s="16" t="s">
        <v>290</v>
      </c>
      <c r="J11" s="16"/>
      <c r="K11" s="17" t="s">
        <v>291</v>
      </c>
      <c r="L11" s="17" t="s">
        <v>284</v>
      </c>
      <c r="M11" s="17" t="s">
        <v>292</v>
      </c>
      <c r="N11" s="16"/>
      <c r="O11" s="17" t="s">
        <v>174</v>
      </c>
      <c r="P11" s="17" t="s">
        <v>182</v>
      </c>
      <c r="Q11" s="17" t="s">
        <v>293</v>
      </c>
      <c r="R11" s="16"/>
      <c r="S11" s="15" t="str">
        <f>"250,0"</f>
        <v>250,0</v>
      </c>
      <c r="T11" s="17" t="str">
        <f>"265,2763"</f>
        <v>265,2763</v>
      </c>
      <c r="U11" s="15" t="s">
        <v>27</v>
      </c>
    </row>
    <row r="13" spans="1:21" ht="15">
      <c r="A13" s="48" t="s">
        <v>13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1">
      <c r="A14" s="9" t="s">
        <v>295</v>
      </c>
      <c r="B14" s="9" t="s">
        <v>296</v>
      </c>
      <c r="C14" s="9" t="s">
        <v>297</v>
      </c>
      <c r="D14" s="9" t="str">
        <f>"0,9222"</f>
        <v>0,9222</v>
      </c>
      <c r="E14" s="9" t="s">
        <v>32</v>
      </c>
      <c r="F14" s="9" t="s">
        <v>19</v>
      </c>
      <c r="G14" s="11" t="s">
        <v>45</v>
      </c>
      <c r="H14" s="10" t="s">
        <v>45</v>
      </c>
      <c r="I14" s="10" t="s">
        <v>35</v>
      </c>
      <c r="J14" s="11"/>
      <c r="K14" s="10" t="s">
        <v>167</v>
      </c>
      <c r="L14" s="10" t="s">
        <v>275</v>
      </c>
      <c r="M14" s="10" t="s">
        <v>22</v>
      </c>
      <c r="N14" s="11"/>
      <c r="O14" s="10" t="s">
        <v>84</v>
      </c>
      <c r="P14" s="10" t="s">
        <v>147</v>
      </c>
      <c r="Q14" s="10" t="s">
        <v>298</v>
      </c>
      <c r="R14" s="11"/>
      <c r="S14" s="9" t="str">
        <f>"352,5"</f>
        <v>352,5</v>
      </c>
      <c r="T14" s="10" t="str">
        <f>"325,0755"</f>
        <v>325,0755</v>
      </c>
      <c r="U14" s="9" t="s">
        <v>27</v>
      </c>
    </row>
    <row r="15" spans="1:21">
      <c r="A15" s="12" t="s">
        <v>300</v>
      </c>
      <c r="B15" s="12" t="s">
        <v>301</v>
      </c>
      <c r="C15" s="12" t="s">
        <v>302</v>
      </c>
      <c r="D15" s="12" t="str">
        <f>"0,9334"</f>
        <v>0,9334</v>
      </c>
      <c r="E15" s="12" t="s">
        <v>32</v>
      </c>
      <c r="F15" s="12" t="s">
        <v>19</v>
      </c>
      <c r="G15" s="13" t="s">
        <v>23</v>
      </c>
      <c r="H15" s="13" t="s">
        <v>173</v>
      </c>
      <c r="I15" s="13" t="s">
        <v>174</v>
      </c>
      <c r="J15" s="14"/>
      <c r="K15" s="13" t="s">
        <v>131</v>
      </c>
      <c r="L15" s="13" t="s">
        <v>284</v>
      </c>
      <c r="M15" s="14" t="s">
        <v>292</v>
      </c>
      <c r="N15" s="14"/>
      <c r="O15" s="13" t="s">
        <v>175</v>
      </c>
      <c r="P15" s="13" t="s">
        <v>45</v>
      </c>
      <c r="Q15" s="14" t="s">
        <v>35</v>
      </c>
      <c r="R15" s="14"/>
      <c r="S15" s="12" t="str">
        <f>"275,0"</f>
        <v>275,0</v>
      </c>
      <c r="T15" s="13" t="str">
        <f>"256,6987"</f>
        <v>256,6987</v>
      </c>
      <c r="U15" s="12" t="s">
        <v>27</v>
      </c>
    </row>
    <row r="16" spans="1:21">
      <c r="A16" s="15" t="s">
        <v>303</v>
      </c>
      <c r="B16" s="15" t="s">
        <v>304</v>
      </c>
      <c r="C16" s="15" t="s">
        <v>305</v>
      </c>
      <c r="D16" s="15" t="str">
        <f>"0,9211"</f>
        <v>0,9211</v>
      </c>
      <c r="E16" s="15" t="s">
        <v>32</v>
      </c>
      <c r="F16" s="15" t="s">
        <v>19</v>
      </c>
      <c r="G16" s="17" t="s">
        <v>173</v>
      </c>
      <c r="H16" s="16" t="s">
        <v>174</v>
      </c>
      <c r="I16" s="16" t="s">
        <v>174</v>
      </c>
      <c r="J16" s="16"/>
      <c r="K16" s="16" t="s">
        <v>166</v>
      </c>
      <c r="L16" s="16" t="s">
        <v>167</v>
      </c>
      <c r="M16" s="16" t="s">
        <v>167</v>
      </c>
      <c r="N16" s="16"/>
      <c r="O16" s="16" t="s">
        <v>36</v>
      </c>
      <c r="P16" s="16"/>
      <c r="Q16" s="16"/>
      <c r="R16" s="16"/>
      <c r="S16" s="15" t="str">
        <f>"0.00"</f>
        <v>0.00</v>
      </c>
      <c r="T16" s="17" t="str">
        <f>"0,0000"</f>
        <v>0,0000</v>
      </c>
      <c r="U16" s="15" t="s">
        <v>27</v>
      </c>
    </row>
    <row r="18" spans="1:21" ht="15">
      <c r="A18" s="48" t="s">
        <v>169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pans="1:21">
      <c r="A19" s="6" t="s">
        <v>307</v>
      </c>
      <c r="B19" s="6" t="s">
        <v>308</v>
      </c>
      <c r="C19" s="6" t="s">
        <v>309</v>
      </c>
      <c r="D19" s="6" t="str">
        <f>"0,8712"</f>
        <v>0,8712</v>
      </c>
      <c r="E19" s="6" t="s">
        <v>32</v>
      </c>
      <c r="F19" s="6" t="s">
        <v>19</v>
      </c>
      <c r="G19" s="8" t="s">
        <v>129</v>
      </c>
      <c r="H19" s="8" t="s">
        <v>130</v>
      </c>
      <c r="I19" s="8" t="s">
        <v>131</v>
      </c>
      <c r="J19" s="7"/>
      <c r="K19" s="8" t="s">
        <v>310</v>
      </c>
      <c r="L19" s="8" t="s">
        <v>311</v>
      </c>
      <c r="M19" s="8" t="s">
        <v>133</v>
      </c>
      <c r="N19" s="7"/>
      <c r="O19" s="8" t="s">
        <v>167</v>
      </c>
      <c r="P19" s="8" t="s">
        <v>275</v>
      </c>
      <c r="Q19" s="8" t="s">
        <v>22</v>
      </c>
      <c r="R19" s="7"/>
      <c r="S19" s="6" t="str">
        <f>"165,0"</f>
        <v>165,0</v>
      </c>
      <c r="T19" s="8" t="str">
        <f>"143,7562"</f>
        <v>143,7562</v>
      </c>
      <c r="U19" s="6" t="s">
        <v>27</v>
      </c>
    </row>
    <row r="21" spans="1:21" ht="15">
      <c r="A21" s="48" t="s">
        <v>263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1">
      <c r="A22" s="6" t="s">
        <v>313</v>
      </c>
      <c r="B22" s="6" t="s">
        <v>314</v>
      </c>
      <c r="C22" s="6" t="s">
        <v>315</v>
      </c>
      <c r="D22" s="6" t="str">
        <f>"0,9563"</f>
        <v>0,9563</v>
      </c>
      <c r="E22" s="6" t="s">
        <v>32</v>
      </c>
      <c r="F22" s="6" t="s">
        <v>19</v>
      </c>
      <c r="G22" s="7" t="s">
        <v>289</v>
      </c>
      <c r="H22" s="8" t="s">
        <v>289</v>
      </c>
      <c r="I22" s="8" t="s">
        <v>290</v>
      </c>
      <c r="J22" s="7"/>
      <c r="K22" s="8" t="s">
        <v>131</v>
      </c>
      <c r="L22" s="7" t="s">
        <v>291</v>
      </c>
      <c r="M22" s="7" t="s">
        <v>284</v>
      </c>
      <c r="N22" s="7"/>
      <c r="O22" s="8" t="s">
        <v>283</v>
      </c>
      <c r="P22" s="8" t="s">
        <v>23</v>
      </c>
      <c r="Q22" s="7" t="s">
        <v>135</v>
      </c>
      <c r="R22" s="7"/>
      <c r="S22" s="6" t="str">
        <f>"217,5"</f>
        <v>217,5</v>
      </c>
      <c r="T22" s="8" t="str">
        <f>"207,9844"</f>
        <v>207,9844</v>
      </c>
      <c r="U22" s="6" t="s">
        <v>27</v>
      </c>
    </row>
    <row r="24" spans="1:21" ht="15">
      <c r="A24" s="48" t="s">
        <v>13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1">
      <c r="A25" s="6" t="s">
        <v>317</v>
      </c>
      <c r="B25" s="6" t="s">
        <v>318</v>
      </c>
      <c r="C25" s="6" t="s">
        <v>319</v>
      </c>
      <c r="D25" s="6" t="str">
        <f>"0,7660"</f>
        <v>0,7660</v>
      </c>
      <c r="E25" s="6" t="s">
        <v>32</v>
      </c>
      <c r="F25" s="6" t="s">
        <v>320</v>
      </c>
      <c r="G25" s="8" t="s">
        <v>25</v>
      </c>
      <c r="H25" s="8" t="s">
        <v>224</v>
      </c>
      <c r="I25" s="8" t="s">
        <v>187</v>
      </c>
      <c r="J25" s="7"/>
      <c r="K25" s="8" t="s">
        <v>23</v>
      </c>
      <c r="L25" s="8" t="s">
        <v>24</v>
      </c>
      <c r="M25" s="8" t="s">
        <v>268</v>
      </c>
      <c r="N25" s="7"/>
      <c r="O25" s="7" t="s">
        <v>38</v>
      </c>
      <c r="P25" s="8" t="s">
        <v>38</v>
      </c>
      <c r="Q25" s="8" t="s">
        <v>321</v>
      </c>
      <c r="R25" s="7"/>
      <c r="S25" s="6" t="str">
        <f>"465,0"</f>
        <v>465,0</v>
      </c>
      <c r="T25" s="8" t="str">
        <f>"356,1900"</f>
        <v>356,1900</v>
      </c>
      <c r="U25" s="6" t="s">
        <v>27</v>
      </c>
    </row>
    <row r="27" spans="1:21" ht="15">
      <c r="A27" s="48" t="s">
        <v>28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1">
      <c r="A28" s="6" t="s">
        <v>323</v>
      </c>
      <c r="B28" s="6" t="s">
        <v>324</v>
      </c>
      <c r="C28" s="6" t="s">
        <v>325</v>
      </c>
      <c r="D28" s="6" t="str">
        <f>"0,6573"</f>
        <v>0,6573</v>
      </c>
      <c r="E28" s="6" t="s">
        <v>32</v>
      </c>
      <c r="F28" s="6" t="s">
        <v>19</v>
      </c>
      <c r="G28" s="7" t="s">
        <v>147</v>
      </c>
      <c r="H28" s="7" t="s">
        <v>147</v>
      </c>
      <c r="I28" s="8" t="s">
        <v>147</v>
      </c>
      <c r="J28" s="7"/>
      <c r="K28" s="8" t="s">
        <v>22</v>
      </c>
      <c r="L28" s="8" t="s">
        <v>23</v>
      </c>
      <c r="M28" s="7" t="s">
        <v>173</v>
      </c>
      <c r="N28" s="7"/>
      <c r="O28" s="8" t="s">
        <v>26</v>
      </c>
      <c r="P28" s="8" t="s">
        <v>208</v>
      </c>
      <c r="Q28" s="8" t="s">
        <v>209</v>
      </c>
      <c r="R28" s="7"/>
      <c r="S28" s="6" t="str">
        <f>"430,0"</f>
        <v>430,0</v>
      </c>
      <c r="T28" s="8" t="str">
        <f>"282,6390"</f>
        <v>282,6390</v>
      </c>
      <c r="U28" s="6" t="s">
        <v>27</v>
      </c>
    </row>
    <row r="30" spans="1:21" ht="15">
      <c r="A30" s="48" t="s">
        <v>39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21">
      <c r="A31" s="6" t="s">
        <v>327</v>
      </c>
      <c r="B31" s="6" t="s">
        <v>328</v>
      </c>
      <c r="C31" s="6" t="s">
        <v>329</v>
      </c>
      <c r="D31" s="6" t="str">
        <f>"0,6238"</f>
        <v>0,6238</v>
      </c>
      <c r="E31" s="6" t="s">
        <v>32</v>
      </c>
      <c r="F31" s="6" t="s">
        <v>19</v>
      </c>
      <c r="G31" s="7" t="s">
        <v>26</v>
      </c>
      <c r="H31" s="7" t="s">
        <v>26</v>
      </c>
      <c r="I31" s="8" t="s">
        <v>26</v>
      </c>
      <c r="J31" s="7"/>
      <c r="K31" s="8" t="s">
        <v>35</v>
      </c>
      <c r="L31" s="8" t="s">
        <v>36</v>
      </c>
      <c r="M31" s="7" t="s">
        <v>84</v>
      </c>
      <c r="N31" s="7"/>
      <c r="O31" s="8" t="s">
        <v>37</v>
      </c>
      <c r="P31" s="8" t="s">
        <v>209</v>
      </c>
      <c r="Q31" s="8" t="s">
        <v>33</v>
      </c>
      <c r="R31" s="7"/>
      <c r="S31" s="6" t="str">
        <f>"495,0"</f>
        <v>495,0</v>
      </c>
      <c r="T31" s="8" t="str">
        <f>"308,8057"</f>
        <v>308,8057</v>
      </c>
      <c r="U31" s="6" t="s">
        <v>27</v>
      </c>
    </row>
    <row r="33" spans="1:21" ht="15">
      <c r="A33" s="48" t="s">
        <v>46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21">
      <c r="A34" s="9" t="s">
        <v>331</v>
      </c>
      <c r="B34" s="9" t="s">
        <v>332</v>
      </c>
      <c r="C34" s="9" t="s">
        <v>50</v>
      </c>
      <c r="D34" s="9" t="str">
        <f>"0,5871"</f>
        <v>0,5871</v>
      </c>
      <c r="E34" s="9" t="s">
        <v>32</v>
      </c>
      <c r="F34" s="9" t="s">
        <v>19</v>
      </c>
      <c r="G34" s="11" t="s">
        <v>173</v>
      </c>
      <c r="H34" s="11" t="s">
        <v>175</v>
      </c>
      <c r="I34" s="10" t="s">
        <v>175</v>
      </c>
      <c r="J34" s="11"/>
      <c r="K34" s="10" t="s">
        <v>175</v>
      </c>
      <c r="L34" s="10" t="s">
        <v>45</v>
      </c>
      <c r="M34" s="11" t="s">
        <v>293</v>
      </c>
      <c r="N34" s="11"/>
      <c r="O34" s="10" t="s">
        <v>45</v>
      </c>
      <c r="P34" s="10" t="s">
        <v>36</v>
      </c>
      <c r="Q34" s="10" t="s">
        <v>84</v>
      </c>
      <c r="R34" s="11"/>
      <c r="S34" s="9" t="str">
        <f>"360,0"</f>
        <v>360,0</v>
      </c>
      <c r="T34" s="10" t="str">
        <f>"211,3740"</f>
        <v>211,3740</v>
      </c>
      <c r="U34" s="9" t="s">
        <v>27</v>
      </c>
    </row>
    <row r="35" spans="1:21">
      <c r="A35" s="15" t="s">
        <v>334</v>
      </c>
      <c r="B35" s="15" t="s">
        <v>335</v>
      </c>
      <c r="C35" s="15" t="s">
        <v>336</v>
      </c>
      <c r="D35" s="15" t="str">
        <f>"0,5870"</f>
        <v>0,5870</v>
      </c>
      <c r="E35" s="15" t="s">
        <v>32</v>
      </c>
      <c r="F35" s="15" t="s">
        <v>337</v>
      </c>
      <c r="G35" s="16" t="s">
        <v>38</v>
      </c>
      <c r="H35" s="17" t="s">
        <v>38</v>
      </c>
      <c r="I35" s="17" t="s">
        <v>33</v>
      </c>
      <c r="J35" s="16"/>
      <c r="K35" s="17" t="s">
        <v>25</v>
      </c>
      <c r="L35" s="17" t="s">
        <v>187</v>
      </c>
      <c r="M35" s="17" t="s">
        <v>26</v>
      </c>
      <c r="N35" s="16"/>
      <c r="O35" s="17" t="s">
        <v>64</v>
      </c>
      <c r="P35" s="17" t="s">
        <v>65</v>
      </c>
      <c r="Q35" s="16" t="s">
        <v>53</v>
      </c>
      <c r="R35" s="16"/>
      <c r="S35" s="15" t="str">
        <f>"600,0"</f>
        <v>600,0</v>
      </c>
      <c r="T35" s="17" t="str">
        <f>"352,1700"</f>
        <v>352,1700</v>
      </c>
      <c r="U35" s="15" t="s">
        <v>27</v>
      </c>
    </row>
    <row r="37" spans="1:21" ht="15">
      <c r="A37" s="48" t="s">
        <v>71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</row>
    <row r="38" spans="1:21">
      <c r="A38" s="6" t="s">
        <v>339</v>
      </c>
      <c r="B38" s="6" t="s">
        <v>340</v>
      </c>
      <c r="C38" s="6" t="s">
        <v>341</v>
      </c>
      <c r="D38" s="6" t="str">
        <f>"0,5681"</f>
        <v>0,5681</v>
      </c>
      <c r="E38" s="6" t="s">
        <v>32</v>
      </c>
      <c r="F38" s="6" t="s">
        <v>19</v>
      </c>
      <c r="G38" s="8" t="s">
        <v>38</v>
      </c>
      <c r="H38" s="7" t="s">
        <v>33</v>
      </c>
      <c r="I38" s="7" t="s">
        <v>33</v>
      </c>
      <c r="J38" s="7"/>
      <c r="K38" s="7" t="s">
        <v>84</v>
      </c>
      <c r="L38" s="8" t="s">
        <v>84</v>
      </c>
      <c r="M38" s="7" t="s">
        <v>147</v>
      </c>
      <c r="N38" s="7"/>
      <c r="O38" s="8" t="s">
        <v>53</v>
      </c>
      <c r="P38" s="8" t="s">
        <v>54</v>
      </c>
      <c r="Q38" s="8" t="s">
        <v>141</v>
      </c>
      <c r="R38" s="7"/>
      <c r="S38" s="6" t="str">
        <f>"595,0"</f>
        <v>595,0</v>
      </c>
      <c r="T38" s="8" t="str">
        <f>"338,0195"</f>
        <v>338,0195</v>
      </c>
      <c r="U38" s="6" t="s">
        <v>27</v>
      </c>
    </row>
    <row r="40" spans="1:21" ht="15">
      <c r="E40" s="18" t="s">
        <v>86</v>
      </c>
    </row>
    <row r="41" spans="1:21" ht="15">
      <c r="E41" s="18" t="s">
        <v>87</v>
      </c>
    </row>
    <row r="42" spans="1:21" ht="15">
      <c r="E42" s="18" t="s">
        <v>88</v>
      </c>
    </row>
    <row r="43" spans="1:21" ht="15">
      <c r="E43" s="18" t="s">
        <v>89</v>
      </c>
    </row>
    <row r="44" spans="1:21" ht="15">
      <c r="E44" s="18" t="s">
        <v>89</v>
      </c>
    </row>
    <row r="45" spans="1:21" ht="15">
      <c r="E45" s="18" t="s">
        <v>90</v>
      </c>
    </row>
    <row r="46" spans="1:21" ht="15">
      <c r="E46" s="18"/>
    </row>
    <row r="48" spans="1:21" ht="18">
      <c r="A48" s="19" t="s">
        <v>91</v>
      </c>
      <c r="B48" s="19"/>
    </row>
    <row r="49" spans="1:5" ht="15">
      <c r="A49" s="20" t="s">
        <v>92</v>
      </c>
      <c r="B49" s="20"/>
    </row>
    <row r="50" spans="1:5" ht="14.25">
      <c r="A50" s="22"/>
      <c r="B50" s="23" t="s">
        <v>93</v>
      </c>
    </row>
    <row r="51" spans="1:5" ht="15">
      <c r="A51" s="24" t="s">
        <v>94</v>
      </c>
      <c r="B51" s="24" t="s">
        <v>95</v>
      </c>
      <c r="C51" s="24" t="s">
        <v>96</v>
      </c>
      <c r="D51" s="24" t="s">
        <v>97</v>
      </c>
      <c r="E51" s="24" t="s">
        <v>98</v>
      </c>
    </row>
    <row r="52" spans="1:5">
      <c r="A52" s="21" t="s">
        <v>294</v>
      </c>
      <c r="B52" s="4" t="s">
        <v>93</v>
      </c>
      <c r="C52" s="4" t="s">
        <v>99</v>
      </c>
      <c r="D52" s="4" t="s">
        <v>342</v>
      </c>
      <c r="E52" s="25" t="s">
        <v>343</v>
      </c>
    </row>
    <row r="53" spans="1:5">
      <c r="A53" s="21" t="s">
        <v>279</v>
      </c>
      <c r="B53" s="4" t="s">
        <v>93</v>
      </c>
      <c r="C53" s="4" t="s">
        <v>344</v>
      </c>
      <c r="D53" s="4" t="s">
        <v>345</v>
      </c>
      <c r="E53" s="25" t="s">
        <v>346</v>
      </c>
    </row>
    <row r="54" spans="1:5">
      <c r="A54" s="21" t="s">
        <v>299</v>
      </c>
      <c r="B54" s="4" t="s">
        <v>93</v>
      </c>
      <c r="C54" s="4" t="s">
        <v>99</v>
      </c>
      <c r="D54" s="4" t="s">
        <v>149</v>
      </c>
      <c r="E54" s="25" t="s">
        <v>347</v>
      </c>
    </row>
    <row r="55" spans="1:5">
      <c r="A55" s="21" t="s">
        <v>264</v>
      </c>
      <c r="B55" s="4" t="s">
        <v>93</v>
      </c>
      <c r="C55" s="4" t="s">
        <v>348</v>
      </c>
      <c r="D55" s="4" t="s">
        <v>349</v>
      </c>
      <c r="E55" s="25" t="s">
        <v>350</v>
      </c>
    </row>
    <row r="56" spans="1:5">
      <c r="A56" s="21" t="s">
        <v>270</v>
      </c>
      <c r="B56" s="4" t="s">
        <v>93</v>
      </c>
      <c r="C56" s="4" t="s">
        <v>348</v>
      </c>
      <c r="D56" s="4" t="s">
        <v>34</v>
      </c>
      <c r="E56" s="25" t="s">
        <v>351</v>
      </c>
    </row>
    <row r="57" spans="1:5">
      <c r="A57" s="21" t="s">
        <v>306</v>
      </c>
      <c r="B57" s="4" t="s">
        <v>93</v>
      </c>
      <c r="C57" s="4" t="s">
        <v>230</v>
      </c>
      <c r="D57" s="4" t="s">
        <v>187</v>
      </c>
      <c r="E57" s="25" t="s">
        <v>352</v>
      </c>
    </row>
    <row r="59" spans="1:5" ht="14.25">
      <c r="A59" s="22"/>
      <c r="B59" s="23" t="s">
        <v>990</v>
      </c>
    </row>
    <row r="60" spans="1:5" ht="15">
      <c r="A60" s="24" t="s">
        <v>94</v>
      </c>
      <c r="B60" s="24" t="s">
        <v>95</v>
      </c>
      <c r="C60" s="24" t="s">
        <v>96</v>
      </c>
      <c r="D60" s="24" t="s">
        <v>97</v>
      </c>
      <c r="E60" s="24" t="s">
        <v>98</v>
      </c>
    </row>
    <row r="61" spans="1:5">
      <c r="A61" s="21" t="s">
        <v>285</v>
      </c>
      <c r="B61" s="36" t="s">
        <v>986</v>
      </c>
      <c r="C61" s="4" t="s">
        <v>344</v>
      </c>
      <c r="D61" s="4" t="s">
        <v>353</v>
      </c>
      <c r="E61" s="25" t="s">
        <v>354</v>
      </c>
    </row>
    <row r="64" spans="1:5" ht="15">
      <c r="A64" s="20" t="s">
        <v>102</v>
      </c>
      <c r="B64" s="20"/>
    </row>
    <row r="65" spans="1:5" ht="14.25">
      <c r="A65" s="22"/>
      <c r="B65" s="23" t="s">
        <v>355</v>
      </c>
    </row>
    <row r="66" spans="1:5" ht="15">
      <c r="A66" s="24" t="s">
        <v>94</v>
      </c>
      <c r="B66" s="24" t="s">
        <v>95</v>
      </c>
      <c r="C66" s="24" t="s">
        <v>96</v>
      </c>
      <c r="D66" s="24" t="s">
        <v>97</v>
      </c>
      <c r="E66" s="24" t="s">
        <v>98</v>
      </c>
    </row>
    <row r="67" spans="1:5">
      <c r="A67" s="21" t="s">
        <v>330</v>
      </c>
      <c r="B67" s="4" t="s">
        <v>356</v>
      </c>
      <c r="C67" s="4" t="s">
        <v>108</v>
      </c>
      <c r="D67" s="4" t="s">
        <v>357</v>
      </c>
      <c r="E67" s="25" t="s">
        <v>358</v>
      </c>
    </row>
    <row r="68" spans="1:5">
      <c r="A68" s="21" t="s">
        <v>312</v>
      </c>
      <c r="B68" s="4" t="s">
        <v>359</v>
      </c>
      <c r="C68" s="4" t="s">
        <v>348</v>
      </c>
      <c r="D68" s="4" t="s">
        <v>360</v>
      </c>
      <c r="E68" s="25" t="s">
        <v>361</v>
      </c>
    </row>
    <row r="70" spans="1:5" ht="14.25">
      <c r="A70" s="22"/>
      <c r="B70" s="23" t="s">
        <v>93</v>
      </c>
    </row>
    <row r="71" spans="1:5" ht="15">
      <c r="A71" s="24" t="s">
        <v>94</v>
      </c>
      <c r="B71" s="24" t="s">
        <v>95</v>
      </c>
      <c r="C71" s="24" t="s">
        <v>96</v>
      </c>
      <c r="D71" s="24" t="s">
        <v>97</v>
      </c>
      <c r="E71" s="24" t="s">
        <v>98</v>
      </c>
    </row>
    <row r="72" spans="1:5">
      <c r="A72" s="21" t="s">
        <v>316</v>
      </c>
      <c r="B72" s="4" t="s">
        <v>93</v>
      </c>
      <c r="C72" s="4" t="s">
        <v>99</v>
      </c>
      <c r="D72" s="4" t="s">
        <v>106</v>
      </c>
      <c r="E72" s="25" t="s">
        <v>362</v>
      </c>
    </row>
    <row r="73" spans="1:5">
      <c r="A73" s="21" t="s">
        <v>333</v>
      </c>
      <c r="B73" s="4" t="s">
        <v>93</v>
      </c>
      <c r="C73" s="4" t="s">
        <v>108</v>
      </c>
      <c r="D73" s="4" t="s">
        <v>363</v>
      </c>
      <c r="E73" s="25" t="s">
        <v>364</v>
      </c>
    </row>
    <row r="74" spans="1:5">
      <c r="A74" s="21" t="s">
        <v>338</v>
      </c>
      <c r="B74" s="4" t="s">
        <v>93</v>
      </c>
      <c r="C74" s="4" t="s">
        <v>111</v>
      </c>
      <c r="D74" s="4" t="s">
        <v>365</v>
      </c>
      <c r="E74" s="25" t="s">
        <v>366</v>
      </c>
    </row>
    <row r="75" spans="1:5">
      <c r="A75" s="21" t="s">
        <v>326</v>
      </c>
      <c r="B75" s="4" t="s">
        <v>93</v>
      </c>
      <c r="C75" s="4" t="s">
        <v>105</v>
      </c>
      <c r="D75" s="4" t="s">
        <v>367</v>
      </c>
      <c r="E75" s="25" t="s">
        <v>368</v>
      </c>
    </row>
    <row r="76" spans="1:5">
      <c r="A76" s="21" t="s">
        <v>322</v>
      </c>
      <c r="B76" s="4" t="s">
        <v>93</v>
      </c>
      <c r="C76" s="4" t="s">
        <v>121</v>
      </c>
      <c r="D76" s="4" t="s">
        <v>369</v>
      </c>
      <c r="E76" s="25" t="s">
        <v>370</v>
      </c>
    </row>
  </sheetData>
  <mergeCells count="23">
    <mergeCell ref="A37:T37"/>
    <mergeCell ref="A18:T18"/>
    <mergeCell ref="A21:T21"/>
    <mergeCell ref="A24:T24"/>
    <mergeCell ref="A27:T27"/>
    <mergeCell ref="A30:T30"/>
    <mergeCell ref="A33:T33"/>
    <mergeCell ref="A13:T13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9:T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sqref="A1:M2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5.57031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2.28515625" style="4" bestFit="1" customWidth="1"/>
    <col min="14" max="16384" width="9.140625" style="3"/>
  </cols>
  <sheetData>
    <row r="1" spans="1:13" s="2" customFormat="1" ht="29.1" customHeight="1">
      <c r="A1" s="37" t="s">
        <v>958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.1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6</v>
      </c>
      <c r="C3" s="45" t="s">
        <v>7</v>
      </c>
      <c r="D3" s="47" t="s">
        <v>9</v>
      </c>
      <c r="E3" s="47" t="s">
        <v>4</v>
      </c>
      <c r="F3" s="47" t="s">
        <v>8</v>
      </c>
      <c r="G3" s="47" t="s">
        <v>11</v>
      </c>
      <c r="H3" s="47"/>
      <c r="I3" s="47"/>
      <c r="J3" s="47"/>
      <c r="K3" s="47" t="s">
        <v>244</v>
      </c>
      <c r="L3" s="47" t="s">
        <v>3</v>
      </c>
      <c r="M3" s="49" t="s">
        <v>2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5">
        <v>1</v>
      </c>
      <c r="H4" s="5">
        <v>2</v>
      </c>
      <c r="I4" s="5">
        <v>3</v>
      </c>
      <c r="J4" s="5" t="s">
        <v>5</v>
      </c>
      <c r="K4" s="46"/>
      <c r="L4" s="46"/>
      <c r="M4" s="50"/>
    </row>
    <row r="5" spans="1:13" ht="15">
      <c r="A5" s="51" t="s">
        <v>46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>
      <c r="A6" s="9" t="s">
        <v>246</v>
      </c>
      <c r="B6" s="9" t="s">
        <v>247</v>
      </c>
      <c r="C6" s="9" t="s">
        <v>248</v>
      </c>
      <c r="D6" s="9" t="str">
        <f>"0,5853"</f>
        <v>0,5853</v>
      </c>
      <c r="E6" s="9" t="s">
        <v>32</v>
      </c>
      <c r="F6" s="9" t="s">
        <v>249</v>
      </c>
      <c r="G6" s="10" t="s">
        <v>55</v>
      </c>
      <c r="H6" s="11" t="s">
        <v>141</v>
      </c>
      <c r="I6" s="11" t="s">
        <v>141</v>
      </c>
      <c r="J6" s="11"/>
      <c r="K6" s="9" t="str">
        <f>"260,0"</f>
        <v>260,0</v>
      </c>
      <c r="L6" s="10" t="str">
        <f>"152,1910"</f>
        <v>152,1910</v>
      </c>
      <c r="M6" s="9" t="s">
        <v>27</v>
      </c>
    </row>
    <row r="7" spans="1:13">
      <c r="A7" s="15" t="s">
        <v>250</v>
      </c>
      <c r="B7" s="15" t="s">
        <v>251</v>
      </c>
      <c r="C7" s="15" t="s">
        <v>252</v>
      </c>
      <c r="D7" s="15" t="str">
        <f>"0,5952"</f>
        <v>0,5952</v>
      </c>
      <c r="E7" s="15" t="s">
        <v>32</v>
      </c>
      <c r="F7" s="15" t="s">
        <v>253</v>
      </c>
      <c r="G7" s="16" t="s">
        <v>34</v>
      </c>
      <c r="H7" s="16" t="s">
        <v>34</v>
      </c>
      <c r="I7" s="16" t="s">
        <v>34</v>
      </c>
      <c r="J7" s="16"/>
      <c r="K7" s="15" t="str">
        <f>"0.00"</f>
        <v>0.00</v>
      </c>
      <c r="L7" s="17" t="str">
        <f>"0,0000"</f>
        <v>0,0000</v>
      </c>
      <c r="M7" s="15" t="s">
        <v>27</v>
      </c>
    </row>
    <row r="9" spans="1:13" ht="15">
      <c r="A9" s="48" t="s">
        <v>77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3">
      <c r="A10" s="6" t="s">
        <v>255</v>
      </c>
      <c r="B10" s="6" t="s">
        <v>256</v>
      </c>
      <c r="C10" s="6" t="s">
        <v>257</v>
      </c>
      <c r="D10" s="6" t="str">
        <f>"0,5524"</f>
        <v>0,5524</v>
      </c>
      <c r="E10" s="6" t="s">
        <v>18</v>
      </c>
      <c r="F10" s="6" t="s">
        <v>19</v>
      </c>
      <c r="G10" s="8" t="s">
        <v>258</v>
      </c>
      <c r="H10" s="8" t="s">
        <v>54</v>
      </c>
      <c r="I10" s="8" t="s">
        <v>259</v>
      </c>
      <c r="J10" s="7"/>
      <c r="K10" s="6" t="str">
        <f>"265,0"</f>
        <v>265,0</v>
      </c>
      <c r="L10" s="8" t="str">
        <f>"146,3860"</f>
        <v>146,3860</v>
      </c>
      <c r="M10" s="6" t="s">
        <v>260</v>
      </c>
    </row>
    <row r="12" spans="1:13" ht="15">
      <c r="E12" s="18" t="s">
        <v>86</v>
      </c>
    </row>
    <row r="13" spans="1:13" ht="15">
      <c r="E13" s="18" t="s">
        <v>87</v>
      </c>
    </row>
    <row r="14" spans="1:13" ht="15">
      <c r="E14" s="18" t="s">
        <v>88</v>
      </c>
    </row>
    <row r="15" spans="1:13" ht="15">
      <c r="E15" s="18" t="s">
        <v>89</v>
      </c>
    </row>
    <row r="16" spans="1:13" ht="15">
      <c r="E16" s="18" t="s">
        <v>89</v>
      </c>
    </row>
    <row r="17" spans="1:5" ht="15">
      <c r="E17" s="18" t="s">
        <v>90</v>
      </c>
    </row>
    <row r="18" spans="1:5" ht="15">
      <c r="E18" s="18"/>
    </row>
    <row r="20" spans="1:5" ht="18">
      <c r="A20" s="19" t="s">
        <v>91</v>
      </c>
      <c r="B20" s="19"/>
    </row>
    <row r="21" spans="1:5" ht="15">
      <c r="A21" s="20" t="s">
        <v>102</v>
      </c>
      <c r="B21" s="20"/>
    </row>
    <row r="22" spans="1:5" ht="14.25">
      <c r="A22" s="22"/>
      <c r="B22" s="23" t="s">
        <v>93</v>
      </c>
    </row>
    <row r="23" spans="1:5" ht="15">
      <c r="A23" s="24" t="s">
        <v>94</v>
      </c>
      <c r="B23" s="24" t="s">
        <v>95</v>
      </c>
      <c r="C23" s="24" t="s">
        <v>96</v>
      </c>
      <c r="D23" s="24" t="s">
        <v>97</v>
      </c>
      <c r="E23" s="24" t="s">
        <v>98</v>
      </c>
    </row>
    <row r="24" spans="1:5">
      <c r="A24" s="21" t="s">
        <v>245</v>
      </c>
      <c r="B24" s="4" t="s">
        <v>93</v>
      </c>
      <c r="C24" s="4" t="s">
        <v>108</v>
      </c>
      <c r="D24" s="4" t="s">
        <v>55</v>
      </c>
      <c r="E24" s="25" t="s">
        <v>261</v>
      </c>
    </row>
    <row r="25" spans="1:5">
      <c r="A25" s="21" t="s">
        <v>254</v>
      </c>
      <c r="B25" s="4" t="s">
        <v>93</v>
      </c>
      <c r="C25" s="4" t="s">
        <v>118</v>
      </c>
      <c r="D25" s="4" t="s">
        <v>259</v>
      </c>
      <c r="E25" s="25" t="s">
        <v>262</v>
      </c>
    </row>
  </sheetData>
  <mergeCells count="13">
    <mergeCell ref="A5:L5"/>
    <mergeCell ref="A9:L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4"/>
  <sheetViews>
    <sheetView topLeftCell="A61" workbookViewId="0">
      <selection activeCell="B72" sqref="B72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3.57031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3.5703125" style="4" bestFit="1" customWidth="1"/>
    <col min="14" max="16384" width="9.140625" style="3"/>
  </cols>
  <sheetData>
    <row r="1" spans="1:13" s="2" customFormat="1" ht="29.1" customHeight="1">
      <c r="A1" s="37" t="s">
        <v>959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.1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6</v>
      </c>
      <c r="C3" s="45" t="s">
        <v>7</v>
      </c>
      <c r="D3" s="47" t="s">
        <v>9</v>
      </c>
      <c r="E3" s="47" t="s">
        <v>4</v>
      </c>
      <c r="F3" s="47" t="s">
        <v>8</v>
      </c>
      <c r="G3" s="47" t="s">
        <v>11</v>
      </c>
      <c r="H3" s="47"/>
      <c r="I3" s="47"/>
      <c r="J3" s="47"/>
      <c r="K3" s="47" t="s">
        <v>244</v>
      </c>
      <c r="L3" s="47" t="s">
        <v>3</v>
      </c>
      <c r="M3" s="49" t="s">
        <v>2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5">
        <v>1</v>
      </c>
      <c r="H4" s="5">
        <v>2</v>
      </c>
      <c r="I4" s="5">
        <v>3</v>
      </c>
      <c r="J4" s="5" t="s">
        <v>5</v>
      </c>
      <c r="K4" s="46"/>
      <c r="L4" s="46"/>
      <c r="M4" s="50"/>
    </row>
    <row r="5" spans="1:13" ht="15">
      <c r="A5" s="51" t="s">
        <v>13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>
      <c r="A6" s="9" t="s">
        <v>158</v>
      </c>
      <c r="B6" s="9" t="s">
        <v>159</v>
      </c>
      <c r="C6" s="9" t="s">
        <v>160</v>
      </c>
      <c r="D6" s="9" t="str">
        <f>"0,9439"</f>
        <v>0,9439</v>
      </c>
      <c r="E6" s="9" t="s">
        <v>51</v>
      </c>
      <c r="F6" s="9" t="s">
        <v>19</v>
      </c>
      <c r="G6" s="10" t="s">
        <v>161</v>
      </c>
      <c r="H6" s="10" t="s">
        <v>135</v>
      </c>
      <c r="I6" s="10" t="s">
        <v>24</v>
      </c>
      <c r="J6" s="11"/>
      <c r="K6" s="9" t="str">
        <f>"95,0"</f>
        <v>95,0</v>
      </c>
      <c r="L6" s="10" t="str">
        <f>"89,6705"</f>
        <v>89,6705</v>
      </c>
      <c r="M6" s="9" t="s">
        <v>27</v>
      </c>
    </row>
    <row r="7" spans="1:13">
      <c r="A7" s="15" t="s">
        <v>163</v>
      </c>
      <c r="B7" s="32" t="s">
        <v>960</v>
      </c>
      <c r="C7" s="15" t="s">
        <v>164</v>
      </c>
      <c r="D7" s="15" t="str">
        <f>"0,9007"</f>
        <v>0,9007</v>
      </c>
      <c r="E7" s="15" t="s">
        <v>32</v>
      </c>
      <c r="F7" s="15" t="s">
        <v>165</v>
      </c>
      <c r="G7" s="17" t="s">
        <v>166</v>
      </c>
      <c r="H7" s="17" t="s">
        <v>167</v>
      </c>
      <c r="I7" s="17" t="s">
        <v>168</v>
      </c>
      <c r="J7" s="16"/>
      <c r="K7" s="15" t="str">
        <f>"70,0"</f>
        <v>70,0</v>
      </c>
      <c r="L7" s="17" t="str">
        <f>"78,5634"</f>
        <v>78,5634</v>
      </c>
      <c r="M7" s="15" t="s">
        <v>27</v>
      </c>
    </row>
    <row r="9" spans="1:13" ht="15">
      <c r="A9" s="48" t="s">
        <v>169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3">
      <c r="A10" s="6" t="s">
        <v>171</v>
      </c>
      <c r="B10" s="33" t="s">
        <v>961</v>
      </c>
      <c r="C10" s="6" t="s">
        <v>172</v>
      </c>
      <c r="D10" s="6" t="str">
        <f>"0,8563"</f>
        <v>0,8563</v>
      </c>
      <c r="E10" s="6" t="s">
        <v>32</v>
      </c>
      <c r="F10" s="6" t="s">
        <v>19</v>
      </c>
      <c r="G10" s="8" t="s">
        <v>173</v>
      </c>
      <c r="H10" s="8" t="s">
        <v>174</v>
      </c>
      <c r="I10" s="7" t="s">
        <v>175</v>
      </c>
      <c r="J10" s="7"/>
      <c r="K10" s="6" t="str">
        <f>"105,0"</f>
        <v>105,0</v>
      </c>
      <c r="L10" s="8" t="str">
        <f>"110,1416"</f>
        <v>110,1416</v>
      </c>
      <c r="M10" s="6" t="s">
        <v>176</v>
      </c>
    </row>
    <row r="12" spans="1:13" ht="15">
      <c r="A12" s="48" t="s">
        <v>169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3">
      <c r="A13" s="6" t="s">
        <v>178</v>
      </c>
      <c r="B13" s="6" t="s">
        <v>179</v>
      </c>
      <c r="C13" s="6" t="s">
        <v>180</v>
      </c>
      <c r="D13" s="6" t="str">
        <f>"0,7079"</f>
        <v>0,7079</v>
      </c>
      <c r="E13" s="6" t="s">
        <v>32</v>
      </c>
      <c r="F13" s="6" t="s">
        <v>181</v>
      </c>
      <c r="G13" s="8" t="s">
        <v>24</v>
      </c>
      <c r="H13" s="7" t="s">
        <v>182</v>
      </c>
      <c r="I13" s="7" t="s">
        <v>182</v>
      </c>
      <c r="J13" s="7"/>
      <c r="K13" s="6" t="str">
        <f>"95,0"</f>
        <v>95,0</v>
      </c>
      <c r="L13" s="8" t="str">
        <f>"67,2505"</f>
        <v>67,2505</v>
      </c>
      <c r="M13" s="6" t="s">
        <v>27</v>
      </c>
    </row>
    <row r="15" spans="1:13" ht="15">
      <c r="A15" s="48" t="s">
        <v>28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3">
      <c r="A16" s="6" t="s">
        <v>184</v>
      </c>
      <c r="B16" s="6" t="s">
        <v>185</v>
      </c>
      <c r="C16" s="6" t="s">
        <v>186</v>
      </c>
      <c r="D16" s="6" t="str">
        <f>"0,6724"</f>
        <v>0,6724</v>
      </c>
      <c r="E16" s="6" t="s">
        <v>32</v>
      </c>
      <c r="F16" s="6" t="s">
        <v>19</v>
      </c>
      <c r="G16" s="8" t="s">
        <v>187</v>
      </c>
      <c r="H16" s="8" t="s">
        <v>26</v>
      </c>
      <c r="I16" s="8" t="s">
        <v>56</v>
      </c>
      <c r="J16" s="7"/>
      <c r="K16" s="6" t="str">
        <f>"175,0"</f>
        <v>175,0</v>
      </c>
      <c r="L16" s="8" t="str">
        <f>"117,6700"</f>
        <v>117,6700</v>
      </c>
      <c r="M16" s="6" t="s">
        <v>27</v>
      </c>
    </row>
    <row r="18" spans="1:13" ht="15">
      <c r="A18" s="48" t="s">
        <v>39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3">
      <c r="A19" s="9" t="s">
        <v>189</v>
      </c>
      <c r="B19" s="9" t="s">
        <v>190</v>
      </c>
      <c r="C19" s="9" t="s">
        <v>191</v>
      </c>
      <c r="D19" s="9" t="str">
        <f>"0,6119"</f>
        <v>0,6119</v>
      </c>
      <c r="E19" s="9" t="s">
        <v>51</v>
      </c>
      <c r="F19" s="9" t="s">
        <v>19</v>
      </c>
      <c r="G19" s="10" t="s">
        <v>25</v>
      </c>
      <c r="H19" s="10" t="s">
        <v>26</v>
      </c>
      <c r="I19" s="10" t="s">
        <v>37</v>
      </c>
      <c r="J19" s="11"/>
      <c r="K19" s="9" t="str">
        <f>"180,0"</f>
        <v>180,0</v>
      </c>
      <c r="L19" s="10" t="str">
        <f>"110,1330"</f>
        <v>110,1330</v>
      </c>
      <c r="M19" s="9" t="s">
        <v>27</v>
      </c>
    </row>
    <row r="20" spans="1:13">
      <c r="A20" s="12" t="s">
        <v>193</v>
      </c>
      <c r="B20" s="34" t="s">
        <v>962</v>
      </c>
      <c r="C20" s="12" t="s">
        <v>194</v>
      </c>
      <c r="D20" s="12" t="str">
        <f>"0,6222"</f>
        <v>0,6222</v>
      </c>
      <c r="E20" s="12" t="s">
        <v>32</v>
      </c>
      <c r="F20" s="12" t="s">
        <v>19</v>
      </c>
      <c r="G20" s="13" t="s">
        <v>20</v>
      </c>
      <c r="H20" s="13" t="s">
        <v>21</v>
      </c>
      <c r="I20" s="13" t="s">
        <v>195</v>
      </c>
      <c r="J20" s="14"/>
      <c r="K20" s="12" t="str">
        <f>"147,5"</f>
        <v>147,5</v>
      </c>
      <c r="L20" s="13" t="str">
        <f>"100,6685"</f>
        <v>100,6685</v>
      </c>
      <c r="M20" s="12" t="s">
        <v>27</v>
      </c>
    </row>
    <row r="21" spans="1:13">
      <c r="A21" s="15" t="s">
        <v>197</v>
      </c>
      <c r="B21" s="32" t="s">
        <v>963</v>
      </c>
      <c r="C21" s="15" t="s">
        <v>198</v>
      </c>
      <c r="D21" s="15" t="str">
        <f>"0,6188"</f>
        <v>0,6188</v>
      </c>
      <c r="E21" s="15" t="s">
        <v>32</v>
      </c>
      <c r="F21" s="15" t="s">
        <v>19</v>
      </c>
      <c r="G21" s="17" t="s">
        <v>175</v>
      </c>
      <c r="H21" s="16" t="s">
        <v>35</v>
      </c>
      <c r="I21" s="17" t="s">
        <v>35</v>
      </c>
      <c r="J21" s="16"/>
      <c r="K21" s="15" t="str">
        <f>"120,0"</f>
        <v>120,0</v>
      </c>
      <c r="L21" s="17" t="str">
        <f>"127,5821"</f>
        <v>127,5821</v>
      </c>
      <c r="M21" s="15" t="s">
        <v>27</v>
      </c>
    </row>
    <row r="23" spans="1:13" ht="15">
      <c r="A23" s="48" t="s">
        <v>46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3">
      <c r="A24" s="9" t="s">
        <v>200</v>
      </c>
      <c r="B24" s="9" t="s">
        <v>201</v>
      </c>
      <c r="C24" s="9" t="s">
        <v>202</v>
      </c>
      <c r="D24" s="9" t="str">
        <f>"0,6007"</f>
        <v>0,6007</v>
      </c>
      <c r="E24" s="9" t="s">
        <v>32</v>
      </c>
      <c r="F24" s="9" t="s">
        <v>19</v>
      </c>
      <c r="G24" s="10" t="s">
        <v>38</v>
      </c>
      <c r="H24" s="10" t="s">
        <v>33</v>
      </c>
      <c r="I24" s="10" t="s">
        <v>57</v>
      </c>
      <c r="J24" s="11"/>
      <c r="K24" s="9" t="str">
        <f>"205,0"</f>
        <v>205,0</v>
      </c>
      <c r="L24" s="10" t="str">
        <f>"123,1333"</f>
        <v>123,1333</v>
      </c>
      <c r="M24" s="9" t="s">
        <v>27</v>
      </c>
    </row>
    <row r="25" spans="1:13">
      <c r="A25" s="15" t="s">
        <v>204</v>
      </c>
      <c r="B25" s="15" t="s">
        <v>205</v>
      </c>
      <c r="C25" s="15" t="s">
        <v>206</v>
      </c>
      <c r="D25" s="15" t="str">
        <f>"0,5875"</f>
        <v>0,5875</v>
      </c>
      <c r="E25" s="15" t="s">
        <v>32</v>
      </c>
      <c r="F25" s="15" t="s">
        <v>207</v>
      </c>
      <c r="G25" s="17" t="s">
        <v>208</v>
      </c>
      <c r="H25" s="17" t="s">
        <v>209</v>
      </c>
      <c r="I25" s="17" t="s">
        <v>33</v>
      </c>
      <c r="J25" s="16"/>
      <c r="K25" s="15" t="str">
        <f>"200,0"</f>
        <v>200,0</v>
      </c>
      <c r="L25" s="17" t="str">
        <f>"117,4900"</f>
        <v>117,4900</v>
      </c>
      <c r="M25" s="15" t="s">
        <v>27</v>
      </c>
    </row>
    <row r="27" spans="1:13" ht="15">
      <c r="A27" s="48" t="s">
        <v>71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3">
      <c r="A28" s="9" t="s">
        <v>211</v>
      </c>
      <c r="B28" s="9" t="s">
        <v>212</v>
      </c>
      <c r="C28" s="9" t="s">
        <v>213</v>
      </c>
      <c r="D28" s="9" t="str">
        <f>"0,5664"</f>
        <v>0,5664</v>
      </c>
      <c r="E28" s="9" t="s">
        <v>32</v>
      </c>
      <c r="F28" s="9" t="s">
        <v>214</v>
      </c>
      <c r="G28" s="10" t="s">
        <v>25</v>
      </c>
      <c r="H28" s="10" t="s">
        <v>26</v>
      </c>
      <c r="I28" s="10" t="s">
        <v>37</v>
      </c>
      <c r="J28" s="11"/>
      <c r="K28" s="9" t="str">
        <f>"180,0"</f>
        <v>180,0</v>
      </c>
      <c r="L28" s="10" t="str">
        <f>"101,9610"</f>
        <v>101,9610</v>
      </c>
      <c r="M28" s="9" t="s">
        <v>27</v>
      </c>
    </row>
    <row r="29" spans="1:13">
      <c r="A29" s="15" t="s">
        <v>216</v>
      </c>
      <c r="B29" s="15" t="s">
        <v>217</v>
      </c>
      <c r="C29" s="15" t="s">
        <v>218</v>
      </c>
      <c r="D29" s="15" t="str">
        <f>"0,5638"</f>
        <v>0,5638</v>
      </c>
      <c r="E29" s="15" t="s">
        <v>32</v>
      </c>
      <c r="F29" s="15" t="s">
        <v>19</v>
      </c>
      <c r="G29" s="17" t="s">
        <v>148</v>
      </c>
      <c r="H29" s="17" t="s">
        <v>187</v>
      </c>
      <c r="I29" s="17" t="s">
        <v>83</v>
      </c>
      <c r="J29" s="16"/>
      <c r="K29" s="15" t="str">
        <f>"172,5"</f>
        <v>172,5</v>
      </c>
      <c r="L29" s="17" t="str">
        <f>"97,2555"</f>
        <v>97,2555</v>
      </c>
      <c r="M29" s="15" t="s">
        <v>27</v>
      </c>
    </row>
    <row r="31" spans="1:13" ht="15">
      <c r="A31" s="48" t="s">
        <v>77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3">
      <c r="A32" s="9" t="s">
        <v>220</v>
      </c>
      <c r="B32" s="9" t="s">
        <v>221</v>
      </c>
      <c r="C32" s="9" t="s">
        <v>222</v>
      </c>
      <c r="D32" s="9" t="str">
        <f>"0,5569"</f>
        <v>0,5569</v>
      </c>
      <c r="E32" s="9" t="s">
        <v>32</v>
      </c>
      <c r="F32" s="9" t="s">
        <v>223</v>
      </c>
      <c r="G32" s="10" t="s">
        <v>148</v>
      </c>
      <c r="H32" s="10" t="s">
        <v>224</v>
      </c>
      <c r="I32" s="10" t="s">
        <v>225</v>
      </c>
      <c r="J32" s="11"/>
      <c r="K32" s="9" t="str">
        <f>"167,5"</f>
        <v>167,5</v>
      </c>
      <c r="L32" s="10" t="str">
        <f>"93,2808"</f>
        <v>93,2808</v>
      </c>
      <c r="M32" s="9" t="s">
        <v>27</v>
      </c>
    </row>
    <row r="33" spans="1:13">
      <c r="A33" s="15" t="s">
        <v>227</v>
      </c>
      <c r="B33" s="32" t="s">
        <v>964</v>
      </c>
      <c r="C33" s="15" t="s">
        <v>228</v>
      </c>
      <c r="D33" s="15" t="str">
        <f>"0,5599"</f>
        <v>0,5599</v>
      </c>
      <c r="E33" s="15" t="s">
        <v>32</v>
      </c>
      <c r="F33" s="15" t="s">
        <v>19</v>
      </c>
      <c r="G33" s="17" t="s">
        <v>208</v>
      </c>
      <c r="H33" s="16" t="s">
        <v>209</v>
      </c>
      <c r="I33" s="16" t="s">
        <v>209</v>
      </c>
      <c r="J33" s="16"/>
      <c r="K33" s="15" t="str">
        <f>"185,0"</f>
        <v>185,0</v>
      </c>
      <c r="L33" s="17" t="str">
        <f>"106,7925"</f>
        <v>106,7925</v>
      </c>
      <c r="M33" s="15" t="s">
        <v>27</v>
      </c>
    </row>
    <row r="35" spans="1:13" ht="15">
      <c r="E35" s="18" t="s">
        <v>86</v>
      </c>
    </row>
    <row r="36" spans="1:13" ht="15">
      <c r="E36" s="18" t="s">
        <v>87</v>
      </c>
    </row>
    <row r="37" spans="1:13" ht="15">
      <c r="E37" s="18" t="s">
        <v>88</v>
      </c>
    </row>
    <row r="38" spans="1:13" ht="15">
      <c r="E38" s="18" t="s">
        <v>89</v>
      </c>
    </row>
    <row r="39" spans="1:13" ht="15">
      <c r="E39" s="18" t="s">
        <v>89</v>
      </c>
    </row>
    <row r="40" spans="1:13" ht="15">
      <c r="E40" s="18" t="s">
        <v>90</v>
      </c>
    </row>
    <row r="41" spans="1:13" ht="15">
      <c r="E41" s="18"/>
    </row>
    <row r="43" spans="1:13" ht="18">
      <c r="A43" s="19" t="s">
        <v>91</v>
      </c>
      <c r="B43" s="19"/>
    </row>
    <row r="44" spans="1:13" ht="15">
      <c r="A44" s="20" t="s">
        <v>92</v>
      </c>
      <c r="B44" s="20"/>
    </row>
    <row r="45" spans="1:13" ht="14.25">
      <c r="A45" s="22"/>
      <c r="B45" s="23" t="s">
        <v>93</v>
      </c>
    </row>
    <row r="46" spans="1:13" ht="15">
      <c r="A46" s="24" t="s">
        <v>94</v>
      </c>
      <c r="B46" s="24" t="s">
        <v>95</v>
      </c>
      <c r="C46" s="24" t="s">
        <v>96</v>
      </c>
      <c r="D46" s="24" t="s">
        <v>97</v>
      </c>
      <c r="E46" s="24" t="s">
        <v>98</v>
      </c>
    </row>
    <row r="47" spans="1:13">
      <c r="A47" s="21" t="s">
        <v>157</v>
      </c>
      <c r="B47" s="4" t="s">
        <v>93</v>
      </c>
      <c r="C47" s="4" t="s">
        <v>99</v>
      </c>
      <c r="D47" s="4" t="s">
        <v>24</v>
      </c>
      <c r="E47" s="25" t="s">
        <v>229</v>
      </c>
    </row>
    <row r="49" spans="1:5" ht="14.25">
      <c r="A49" s="22"/>
      <c r="B49" s="23" t="s">
        <v>1003</v>
      </c>
    </row>
    <row r="50" spans="1:5" ht="15">
      <c r="A50" s="24" t="s">
        <v>94</v>
      </c>
      <c r="B50" s="24" t="s">
        <v>95</v>
      </c>
      <c r="C50" s="24" t="s">
        <v>96</v>
      </c>
      <c r="D50" s="24" t="s">
        <v>97</v>
      </c>
      <c r="E50" s="24" t="s">
        <v>98</v>
      </c>
    </row>
    <row r="51" spans="1:5">
      <c r="A51" s="21" t="s">
        <v>170</v>
      </c>
      <c r="B51" s="36" t="s">
        <v>991</v>
      </c>
      <c r="C51" s="4" t="s">
        <v>230</v>
      </c>
      <c r="D51" s="4" t="s">
        <v>174</v>
      </c>
      <c r="E51" s="25" t="s">
        <v>231</v>
      </c>
    </row>
    <row r="52" spans="1:5">
      <c r="A52" s="21" t="s">
        <v>162</v>
      </c>
      <c r="B52" s="36" t="s">
        <v>1004</v>
      </c>
      <c r="C52" s="4" t="s">
        <v>99</v>
      </c>
      <c r="D52" s="4" t="s">
        <v>168</v>
      </c>
      <c r="E52" s="25" t="s">
        <v>232</v>
      </c>
    </row>
    <row r="55" spans="1:5" ht="15">
      <c r="A55" s="20" t="s">
        <v>102</v>
      </c>
      <c r="B55" s="20"/>
    </row>
    <row r="56" spans="1:5" ht="14.25">
      <c r="A56" s="22"/>
      <c r="B56" s="23" t="s">
        <v>103</v>
      </c>
    </row>
    <row r="57" spans="1:5" ht="15">
      <c r="A57" s="24" t="s">
        <v>94</v>
      </c>
      <c r="B57" s="24" t="s">
        <v>95</v>
      </c>
      <c r="C57" s="24" t="s">
        <v>96</v>
      </c>
      <c r="D57" s="24" t="s">
        <v>97</v>
      </c>
      <c r="E57" s="24" t="s">
        <v>98</v>
      </c>
    </row>
    <row r="58" spans="1:5">
      <c r="A58" s="21" t="s">
        <v>219</v>
      </c>
      <c r="B58" s="4" t="s">
        <v>104</v>
      </c>
      <c r="C58" s="4" t="s">
        <v>118</v>
      </c>
      <c r="D58" s="4" t="s">
        <v>225</v>
      </c>
      <c r="E58" s="25" t="s">
        <v>233</v>
      </c>
    </row>
    <row r="60" spans="1:5" ht="14.25">
      <c r="A60" s="22"/>
      <c r="B60" s="23" t="s">
        <v>93</v>
      </c>
    </row>
    <row r="61" spans="1:5" ht="15">
      <c r="A61" s="24" t="s">
        <v>94</v>
      </c>
      <c r="B61" s="24" t="s">
        <v>95</v>
      </c>
      <c r="C61" s="24" t="s">
        <v>96</v>
      </c>
      <c r="D61" s="24" t="s">
        <v>97</v>
      </c>
      <c r="E61" s="24" t="s">
        <v>98</v>
      </c>
    </row>
    <row r="62" spans="1:5">
      <c r="A62" s="21" t="s">
        <v>199</v>
      </c>
      <c r="B62" s="4" t="s">
        <v>93</v>
      </c>
      <c r="C62" s="4" t="s">
        <v>108</v>
      </c>
      <c r="D62" s="4" t="s">
        <v>57</v>
      </c>
      <c r="E62" s="25" t="s">
        <v>234</v>
      </c>
    </row>
    <row r="63" spans="1:5">
      <c r="A63" s="21" t="s">
        <v>183</v>
      </c>
      <c r="B63" s="4" t="s">
        <v>93</v>
      </c>
      <c r="C63" s="4" t="s">
        <v>121</v>
      </c>
      <c r="D63" s="4" t="s">
        <v>56</v>
      </c>
      <c r="E63" s="25" t="s">
        <v>235</v>
      </c>
    </row>
    <row r="64" spans="1:5">
      <c r="A64" s="21" t="s">
        <v>203</v>
      </c>
      <c r="B64" s="4" t="s">
        <v>93</v>
      </c>
      <c r="C64" s="4" t="s">
        <v>108</v>
      </c>
      <c r="D64" s="4" t="s">
        <v>33</v>
      </c>
      <c r="E64" s="25" t="s">
        <v>236</v>
      </c>
    </row>
    <row r="65" spans="1:5">
      <c r="A65" s="21" t="s">
        <v>188</v>
      </c>
      <c r="B65" s="4" t="s">
        <v>93</v>
      </c>
      <c r="C65" s="4" t="s">
        <v>105</v>
      </c>
      <c r="D65" s="4" t="s">
        <v>37</v>
      </c>
      <c r="E65" s="25" t="s">
        <v>237</v>
      </c>
    </row>
    <row r="66" spans="1:5">
      <c r="A66" s="21" t="s">
        <v>210</v>
      </c>
      <c r="B66" s="4" t="s">
        <v>93</v>
      </c>
      <c r="C66" s="4" t="s">
        <v>111</v>
      </c>
      <c r="D66" s="4" t="s">
        <v>37</v>
      </c>
      <c r="E66" s="25" t="s">
        <v>238</v>
      </c>
    </row>
    <row r="67" spans="1:5">
      <c r="A67" s="21" t="s">
        <v>215</v>
      </c>
      <c r="B67" s="4" t="s">
        <v>93</v>
      </c>
      <c r="C67" s="4" t="s">
        <v>111</v>
      </c>
      <c r="D67" s="4" t="s">
        <v>83</v>
      </c>
      <c r="E67" s="25" t="s">
        <v>239</v>
      </c>
    </row>
    <row r="68" spans="1:5">
      <c r="A68" s="21" t="s">
        <v>177</v>
      </c>
      <c r="B68" s="4" t="s">
        <v>93</v>
      </c>
      <c r="C68" s="4" t="s">
        <v>230</v>
      </c>
      <c r="D68" s="4" t="s">
        <v>24</v>
      </c>
      <c r="E68" s="25" t="s">
        <v>240</v>
      </c>
    </row>
    <row r="70" spans="1:5" ht="14.25">
      <c r="A70" s="22"/>
      <c r="B70" s="23" t="s">
        <v>990</v>
      </c>
    </row>
    <row r="71" spans="1:5" ht="15">
      <c r="A71" s="24" t="s">
        <v>94</v>
      </c>
      <c r="B71" s="24" t="s">
        <v>95</v>
      </c>
      <c r="C71" s="24" t="s">
        <v>96</v>
      </c>
      <c r="D71" s="24" t="s">
        <v>97</v>
      </c>
      <c r="E71" s="24" t="s">
        <v>98</v>
      </c>
    </row>
    <row r="72" spans="1:5">
      <c r="A72" s="21" t="s">
        <v>196</v>
      </c>
      <c r="B72" s="36" t="s">
        <v>984</v>
      </c>
      <c r="C72" s="4" t="s">
        <v>105</v>
      </c>
      <c r="D72" s="4" t="s">
        <v>35</v>
      </c>
      <c r="E72" s="25" t="s">
        <v>241</v>
      </c>
    </row>
    <row r="73" spans="1:5">
      <c r="A73" s="21" t="s">
        <v>226</v>
      </c>
      <c r="B73" s="36" t="s">
        <v>986</v>
      </c>
      <c r="C73" s="4" t="s">
        <v>118</v>
      </c>
      <c r="D73" s="4" t="s">
        <v>208</v>
      </c>
      <c r="E73" s="25" t="s">
        <v>242</v>
      </c>
    </row>
    <row r="74" spans="1:5">
      <c r="A74" s="21" t="s">
        <v>192</v>
      </c>
      <c r="B74" s="36" t="s">
        <v>985</v>
      </c>
      <c r="C74" s="4" t="s">
        <v>105</v>
      </c>
      <c r="D74" s="4" t="s">
        <v>195</v>
      </c>
      <c r="E74" s="25" t="s">
        <v>243</v>
      </c>
    </row>
  </sheetData>
  <mergeCells count="19">
    <mergeCell ref="A15:L15"/>
    <mergeCell ref="A18:L18"/>
    <mergeCell ref="A23:L23"/>
    <mergeCell ref="A27:L27"/>
    <mergeCell ref="A31:L31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3"/>
  <sheetViews>
    <sheetView workbookViewId="0">
      <selection activeCell="B16" sqref="B16"/>
    </sheetView>
  </sheetViews>
  <sheetFormatPr defaultRowHeight="12.75"/>
  <cols>
    <col min="1" max="1" width="26" style="4" bestFit="1" customWidth="1"/>
    <col min="2" max="2" width="29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17.285156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8.85546875" style="4" bestFit="1" customWidth="1"/>
    <col min="22" max="16384" width="9.140625" style="3"/>
  </cols>
  <sheetData>
    <row r="1" spans="1:21" s="2" customFormat="1" ht="29.1" customHeight="1">
      <c r="A1" s="37" t="s">
        <v>965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2.1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s="1" customFormat="1" ht="12.75" customHeight="1">
      <c r="A3" s="43" t="s">
        <v>0</v>
      </c>
      <c r="B3" s="45" t="s">
        <v>6</v>
      </c>
      <c r="C3" s="45" t="s">
        <v>7</v>
      </c>
      <c r="D3" s="47" t="s">
        <v>9</v>
      </c>
      <c r="E3" s="47" t="s">
        <v>4</v>
      </c>
      <c r="F3" s="47" t="s">
        <v>8</v>
      </c>
      <c r="G3" s="47" t="s">
        <v>10</v>
      </c>
      <c r="H3" s="47"/>
      <c r="I3" s="47"/>
      <c r="J3" s="47"/>
      <c r="K3" s="47" t="s">
        <v>11</v>
      </c>
      <c r="L3" s="47"/>
      <c r="M3" s="47"/>
      <c r="N3" s="47"/>
      <c r="O3" s="47" t="s">
        <v>12</v>
      </c>
      <c r="P3" s="47"/>
      <c r="Q3" s="47"/>
      <c r="R3" s="47"/>
      <c r="S3" s="47" t="s">
        <v>1</v>
      </c>
      <c r="T3" s="47" t="s">
        <v>3</v>
      </c>
      <c r="U3" s="49" t="s">
        <v>2</v>
      </c>
    </row>
    <row r="4" spans="1:21" s="1" customFormat="1" ht="21" customHeight="1" thickBot="1">
      <c r="A4" s="44"/>
      <c r="B4" s="46"/>
      <c r="C4" s="46"/>
      <c r="D4" s="46"/>
      <c r="E4" s="46"/>
      <c r="F4" s="46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6"/>
      <c r="T4" s="46"/>
      <c r="U4" s="50"/>
    </row>
    <row r="5" spans="1:21" ht="15">
      <c r="A5" s="51" t="s">
        <v>13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>
      <c r="A6" s="6" t="s">
        <v>125</v>
      </c>
      <c r="B6" s="6" t="s">
        <v>126</v>
      </c>
      <c r="C6" s="6" t="s">
        <v>127</v>
      </c>
      <c r="D6" s="6" t="str">
        <f>"0,9156"</f>
        <v>0,9156</v>
      </c>
      <c r="E6" s="6" t="s">
        <v>32</v>
      </c>
      <c r="F6" s="6" t="s">
        <v>128</v>
      </c>
      <c r="G6" s="8" t="s">
        <v>129</v>
      </c>
      <c r="H6" s="8" t="s">
        <v>130</v>
      </c>
      <c r="I6" s="8" t="s">
        <v>131</v>
      </c>
      <c r="J6" s="7"/>
      <c r="K6" s="8" t="s">
        <v>132</v>
      </c>
      <c r="L6" s="8" t="s">
        <v>133</v>
      </c>
      <c r="M6" s="8" t="s">
        <v>134</v>
      </c>
      <c r="N6" s="7"/>
      <c r="O6" s="8" t="s">
        <v>22</v>
      </c>
      <c r="P6" s="8" t="s">
        <v>23</v>
      </c>
      <c r="Q6" s="7" t="s">
        <v>135</v>
      </c>
      <c r="R6" s="7"/>
      <c r="S6" s="6" t="str">
        <f>"177,5"</f>
        <v>177,5</v>
      </c>
      <c r="T6" s="8" t="str">
        <f>"162,5190"</f>
        <v>162,5190</v>
      </c>
      <c r="U6" s="6" t="s">
        <v>27</v>
      </c>
    </row>
    <row r="8" spans="1:21" ht="15">
      <c r="A8" s="48" t="s">
        <v>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1">
      <c r="A9" s="6" t="s">
        <v>137</v>
      </c>
      <c r="B9" s="6" t="s">
        <v>138</v>
      </c>
      <c r="C9" s="6" t="s">
        <v>139</v>
      </c>
      <c r="D9" s="6" t="str">
        <f>"0,6471"</f>
        <v>0,6471</v>
      </c>
      <c r="E9" s="6" t="s">
        <v>32</v>
      </c>
      <c r="F9" s="6" t="s">
        <v>140</v>
      </c>
      <c r="G9" s="7" t="s">
        <v>37</v>
      </c>
      <c r="H9" s="7" t="s">
        <v>38</v>
      </c>
      <c r="I9" s="8" t="s">
        <v>33</v>
      </c>
      <c r="J9" s="7"/>
      <c r="K9" s="8" t="s">
        <v>36</v>
      </c>
      <c r="L9" s="8" t="s">
        <v>84</v>
      </c>
      <c r="M9" s="8" t="s">
        <v>85</v>
      </c>
      <c r="N9" s="7"/>
      <c r="O9" s="8" t="s">
        <v>53</v>
      </c>
      <c r="P9" s="8" t="s">
        <v>55</v>
      </c>
      <c r="Q9" s="7" t="s">
        <v>141</v>
      </c>
      <c r="R9" s="7"/>
      <c r="S9" s="6" t="str">
        <f>"602,5"</f>
        <v>602,5</v>
      </c>
      <c r="T9" s="8" t="str">
        <f>"389,9079"</f>
        <v>389,9079</v>
      </c>
      <c r="U9" s="6" t="s">
        <v>27</v>
      </c>
    </row>
    <row r="11" spans="1:21" ht="15">
      <c r="A11" s="48" t="s">
        <v>46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1">
      <c r="A12" s="6" t="s">
        <v>143</v>
      </c>
      <c r="B12" s="6" t="s">
        <v>144</v>
      </c>
      <c r="C12" s="6" t="s">
        <v>145</v>
      </c>
      <c r="D12" s="6" t="str">
        <f>"0,5889"</f>
        <v>0,5889</v>
      </c>
      <c r="E12" s="6" t="s">
        <v>32</v>
      </c>
      <c r="F12" s="6" t="s">
        <v>19</v>
      </c>
      <c r="G12" s="7" t="s">
        <v>53</v>
      </c>
      <c r="H12" s="8" t="s">
        <v>54</v>
      </c>
      <c r="I12" s="7" t="s">
        <v>146</v>
      </c>
      <c r="J12" s="7"/>
      <c r="K12" s="8" t="s">
        <v>147</v>
      </c>
      <c r="L12" s="8" t="s">
        <v>148</v>
      </c>
      <c r="M12" s="8" t="s">
        <v>25</v>
      </c>
      <c r="N12" s="7"/>
      <c r="O12" s="8" t="s">
        <v>54</v>
      </c>
      <c r="P12" s="7" t="s">
        <v>149</v>
      </c>
      <c r="Q12" s="8" t="s">
        <v>149</v>
      </c>
      <c r="R12" s="7"/>
      <c r="S12" s="6" t="str">
        <f>"690,0"</f>
        <v>690,0</v>
      </c>
      <c r="T12" s="8" t="str">
        <f>"406,3065"</f>
        <v>406,3065</v>
      </c>
      <c r="U12" s="6" t="s">
        <v>27</v>
      </c>
    </row>
    <row r="14" spans="1:21" ht="15">
      <c r="E14" s="18" t="s">
        <v>86</v>
      </c>
    </row>
    <row r="15" spans="1:21" ht="15">
      <c r="E15" s="18" t="s">
        <v>87</v>
      </c>
    </row>
    <row r="16" spans="1:21" ht="15">
      <c r="E16" s="18" t="s">
        <v>88</v>
      </c>
    </row>
    <row r="17" spans="1:5" ht="15">
      <c r="E17" s="18" t="s">
        <v>89</v>
      </c>
    </row>
    <row r="18" spans="1:5" ht="15">
      <c r="E18" s="18" t="s">
        <v>89</v>
      </c>
    </row>
    <row r="19" spans="1:5" ht="15">
      <c r="E19" s="18" t="s">
        <v>90</v>
      </c>
    </row>
    <row r="20" spans="1:5" ht="15">
      <c r="E20" s="18"/>
    </row>
    <row r="22" spans="1:5" ht="18">
      <c r="A22" s="19" t="s">
        <v>91</v>
      </c>
      <c r="B22" s="19"/>
    </row>
    <row r="23" spans="1:5" ht="15">
      <c r="A23" s="20" t="s">
        <v>92</v>
      </c>
      <c r="B23" s="20"/>
    </row>
    <row r="24" spans="1:5" ht="14.25">
      <c r="A24" s="22"/>
      <c r="B24" s="23" t="s">
        <v>150</v>
      </c>
    </row>
    <row r="25" spans="1:5" ht="15">
      <c r="A25" s="24" t="s">
        <v>94</v>
      </c>
      <c r="B25" s="24" t="s">
        <v>95</v>
      </c>
      <c r="C25" s="24" t="s">
        <v>96</v>
      </c>
      <c r="D25" s="24" t="s">
        <v>97</v>
      </c>
      <c r="E25" s="24" t="s">
        <v>98</v>
      </c>
    </row>
    <row r="26" spans="1:5">
      <c r="A26" s="21" t="s">
        <v>124</v>
      </c>
      <c r="B26" s="4" t="s">
        <v>104</v>
      </c>
      <c r="C26" s="4" t="s">
        <v>99</v>
      </c>
      <c r="D26" s="4" t="s">
        <v>151</v>
      </c>
      <c r="E26" s="25" t="s">
        <v>152</v>
      </c>
    </row>
    <row r="29" spans="1:5" ht="15">
      <c r="A29" s="20" t="s">
        <v>102</v>
      </c>
      <c r="B29" s="20"/>
    </row>
    <row r="30" spans="1:5" ht="14.25">
      <c r="A30" s="22"/>
      <c r="B30" s="23" t="s">
        <v>93</v>
      </c>
    </row>
    <row r="31" spans="1:5" ht="15">
      <c r="A31" s="24" t="s">
        <v>94</v>
      </c>
      <c r="B31" s="24" t="s">
        <v>95</v>
      </c>
      <c r="C31" s="24" t="s">
        <v>96</v>
      </c>
      <c r="D31" s="24" t="s">
        <v>97</v>
      </c>
      <c r="E31" s="24" t="s">
        <v>98</v>
      </c>
    </row>
    <row r="32" spans="1:5">
      <c r="A32" s="21" t="s">
        <v>142</v>
      </c>
      <c r="B32" s="4" t="s">
        <v>93</v>
      </c>
      <c r="C32" s="4" t="s">
        <v>108</v>
      </c>
      <c r="D32" s="4" t="s">
        <v>153</v>
      </c>
      <c r="E32" s="25" t="s">
        <v>154</v>
      </c>
    </row>
    <row r="33" spans="1:5">
      <c r="A33" s="21" t="s">
        <v>136</v>
      </c>
      <c r="B33" s="4" t="s">
        <v>93</v>
      </c>
      <c r="C33" s="4" t="s">
        <v>121</v>
      </c>
      <c r="D33" s="4" t="s">
        <v>155</v>
      </c>
      <c r="E33" s="25" t="s">
        <v>156</v>
      </c>
    </row>
  </sheetData>
  <mergeCells count="16"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U55"/>
  <sheetViews>
    <sheetView topLeftCell="A35" zoomScaleNormal="100" workbookViewId="0">
      <selection activeCell="B55" sqref="B55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1.285156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8.85546875" style="4" bestFit="1" customWidth="1"/>
    <col min="22" max="16384" width="9.140625" style="3"/>
  </cols>
  <sheetData>
    <row r="1" spans="1:21" s="2" customFormat="1" ht="29.1" customHeight="1">
      <c r="A1" s="37" t="s">
        <v>954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2.1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s="1" customFormat="1" ht="12.75" customHeight="1">
      <c r="A3" s="43" t="s">
        <v>0</v>
      </c>
      <c r="B3" s="45" t="s">
        <v>6</v>
      </c>
      <c r="C3" s="45" t="s">
        <v>7</v>
      </c>
      <c r="D3" s="47" t="s">
        <v>9</v>
      </c>
      <c r="E3" s="47" t="s">
        <v>4</v>
      </c>
      <c r="F3" s="47" t="s">
        <v>8</v>
      </c>
      <c r="G3" s="47" t="s">
        <v>10</v>
      </c>
      <c r="H3" s="47"/>
      <c r="I3" s="47"/>
      <c r="J3" s="47"/>
      <c r="K3" s="47" t="s">
        <v>11</v>
      </c>
      <c r="L3" s="47"/>
      <c r="M3" s="47"/>
      <c r="N3" s="47"/>
      <c r="O3" s="47" t="s">
        <v>12</v>
      </c>
      <c r="P3" s="47"/>
      <c r="Q3" s="47"/>
      <c r="R3" s="47"/>
      <c r="S3" s="47" t="s">
        <v>1</v>
      </c>
      <c r="T3" s="47" t="s">
        <v>3</v>
      </c>
      <c r="U3" s="49" t="s">
        <v>2</v>
      </c>
    </row>
    <row r="4" spans="1:21" s="1" customFormat="1" ht="21" customHeight="1" thickBot="1">
      <c r="A4" s="44"/>
      <c r="B4" s="46"/>
      <c r="C4" s="46"/>
      <c r="D4" s="46"/>
      <c r="E4" s="46"/>
      <c r="F4" s="46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6"/>
      <c r="T4" s="46"/>
      <c r="U4" s="50"/>
    </row>
    <row r="5" spans="1:21" ht="15">
      <c r="A5" s="51" t="s">
        <v>13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>
      <c r="A6" s="6" t="s">
        <v>15</v>
      </c>
      <c r="B6" s="6" t="s">
        <v>16</v>
      </c>
      <c r="C6" s="6" t="s">
        <v>17</v>
      </c>
      <c r="D6" s="6" t="str">
        <f>"0,9060"</f>
        <v>0,9060</v>
      </c>
      <c r="E6" s="6" t="s">
        <v>18</v>
      </c>
      <c r="F6" s="6" t="s">
        <v>19</v>
      </c>
      <c r="G6" s="7" t="s">
        <v>20</v>
      </c>
      <c r="H6" s="8" t="s">
        <v>20</v>
      </c>
      <c r="I6" s="8" t="s">
        <v>21</v>
      </c>
      <c r="J6" s="7"/>
      <c r="K6" s="7" t="s">
        <v>22</v>
      </c>
      <c r="L6" s="8" t="s">
        <v>23</v>
      </c>
      <c r="M6" s="7" t="s">
        <v>24</v>
      </c>
      <c r="N6" s="7"/>
      <c r="O6" s="8" t="s">
        <v>21</v>
      </c>
      <c r="P6" s="8" t="s">
        <v>25</v>
      </c>
      <c r="Q6" s="7" t="s">
        <v>26</v>
      </c>
      <c r="R6" s="7"/>
      <c r="S6" s="6" t="str">
        <f>"390,0"</f>
        <v>390,0</v>
      </c>
      <c r="T6" s="8" t="str">
        <f>"353,3205"</f>
        <v>353,3205</v>
      </c>
      <c r="U6" s="6" t="s">
        <v>27</v>
      </c>
    </row>
    <row r="8" spans="1:21" ht="15">
      <c r="A8" s="48" t="s">
        <v>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1">
      <c r="A9" s="6" t="s">
        <v>30</v>
      </c>
      <c r="B9" s="33" t="s">
        <v>966</v>
      </c>
      <c r="C9" s="6" t="s">
        <v>31</v>
      </c>
      <c r="D9" s="6" t="str">
        <f>"0,6718"</f>
        <v>0,6718</v>
      </c>
      <c r="E9" s="6" t="s">
        <v>32</v>
      </c>
      <c r="F9" s="6" t="s">
        <v>19</v>
      </c>
      <c r="G9" s="8" t="s">
        <v>33</v>
      </c>
      <c r="H9" s="7" t="s">
        <v>34</v>
      </c>
      <c r="I9" s="7"/>
      <c r="J9" s="7"/>
      <c r="K9" s="8" t="s">
        <v>35</v>
      </c>
      <c r="L9" s="8" t="s">
        <v>36</v>
      </c>
      <c r="M9" s="8" t="s">
        <v>20</v>
      </c>
      <c r="N9" s="7"/>
      <c r="O9" s="8" t="s">
        <v>37</v>
      </c>
      <c r="P9" s="8" t="s">
        <v>38</v>
      </c>
      <c r="Q9" s="7" t="s">
        <v>33</v>
      </c>
      <c r="R9" s="7"/>
      <c r="S9" s="6" t="str">
        <f>"520,0"</f>
        <v>520,0</v>
      </c>
      <c r="T9" s="8" t="str">
        <f>"356,3227"</f>
        <v>356,3227</v>
      </c>
      <c r="U9" s="6" t="s">
        <v>27</v>
      </c>
    </row>
    <row r="11" spans="1:21" ht="15">
      <c r="A11" s="48" t="s">
        <v>39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1">
      <c r="A12" s="6" t="s">
        <v>41</v>
      </c>
      <c r="B12" s="6" t="s">
        <v>42</v>
      </c>
      <c r="C12" s="6" t="s">
        <v>43</v>
      </c>
      <c r="D12" s="6" t="str">
        <f>"0,6331"</f>
        <v>0,6331</v>
      </c>
      <c r="E12" s="6" t="s">
        <v>32</v>
      </c>
      <c r="F12" s="6" t="s">
        <v>19</v>
      </c>
      <c r="G12" s="8" t="s">
        <v>21</v>
      </c>
      <c r="H12" s="7" t="s">
        <v>44</v>
      </c>
      <c r="I12" s="7" t="s">
        <v>44</v>
      </c>
      <c r="J12" s="7"/>
      <c r="K12" s="8" t="s">
        <v>45</v>
      </c>
      <c r="L12" s="8" t="s">
        <v>35</v>
      </c>
      <c r="M12" s="8" t="s">
        <v>36</v>
      </c>
      <c r="N12" s="7"/>
      <c r="O12" s="8" t="s">
        <v>38</v>
      </c>
      <c r="P12" s="7" t="s">
        <v>33</v>
      </c>
      <c r="Q12" s="8" t="s">
        <v>33</v>
      </c>
      <c r="R12" s="7"/>
      <c r="S12" s="6" t="str">
        <f>"465,0"</f>
        <v>465,0</v>
      </c>
      <c r="T12" s="8" t="str">
        <f>"294,3915"</f>
        <v>294,3915</v>
      </c>
      <c r="U12" s="6" t="s">
        <v>27</v>
      </c>
    </row>
    <row r="14" spans="1:21" ht="15">
      <c r="A14" s="48" t="s">
        <v>46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1">
      <c r="A15" s="9" t="s">
        <v>48</v>
      </c>
      <c r="B15" s="9" t="s">
        <v>49</v>
      </c>
      <c r="C15" s="9" t="s">
        <v>50</v>
      </c>
      <c r="D15" s="9" t="str">
        <f>"0,5871"</f>
        <v>0,5871</v>
      </c>
      <c r="E15" s="9" t="s">
        <v>51</v>
      </c>
      <c r="F15" s="9" t="s">
        <v>52</v>
      </c>
      <c r="G15" s="10" t="s">
        <v>53</v>
      </c>
      <c r="H15" s="10" t="s">
        <v>54</v>
      </c>
      <c r="I15" s="10" t="s">
        <v>55</v>
      </c>
      <c r="J15" s="11"/>
      <c r="K15" s="10" t="s">
        <v>56</v>
      </c>
      <c r="L15" s="10" t="s">
        <v>38</v>
      </c>
      <c r="M15" s="10" t="s">
        <v>57</v>
      </c>
      <c r="N15" s="11"/>
      <c r="O15" s="10" t="s">
        <v>55</v>
      </c>
      <c r="P15" s="10" t="s">
        <v>58</v>
      </c>
      <c r="Q15" s="11" t="s">
        <v>59</v>
      </c>
      <c r="R15" s="11"/>
      <c r="S15" s="9" t="str">
        <f>"750,0"</f>
        <v>750,0</v>
      </c>
      <c r="T15" s="10" t="str">
        <f>"440,3625"</f>
        <v>440,3625</v>
      </c>
      <c r="U15" s="9" t="s">
        <v>27</v>
      </c>
    </row>
    <row r="16" spans="1:21">
      <c r="A16" s="12" t="s">
        <v>61</v>
      </c>
      <c r="B16" s="12" t="s">
        <v>62</v>
      </c>
      <c r="C16" s="12" t="s">
        <v>63</v>
      </c>
      <c r="D16" s="12" t="str">
        <f>"0,5900"</f>
        <v>0,5900</v>
      </c>
      <c r="E16" s="12" t="s">
        <v>32</v>
      </c>
      <c r="F16" s="12" t="s">
        <v>19</v>
      </c>
      <c r="G16" s="13" t="s">
        <v>37</v>
      </c>
      <c r="H16" s="13" t="s">
        <v>38</v>
      </c>
      <c r="I16" s="14" t="s">
        <v>57</v>
      </c>
      <c r="J16" s="14"/>
      <c r="K16" s="13" t="s">
        <v>44</v>
      </c>
      <c r="L16" s="13" t="s">
        <v>25</v>
      </c>
      <c r="M16" s="14" t="s">
        <v>26</v>
      </c>
      <c r="N16" s="14"/>
      <c r="O16" s="13" t="s">
        <v>64</v>
      </c>
      <c r="P16" s="13" t="s">
        <v>65</v>
      </c>
      <c r="Q16" s="13" t="s">
        <v>53</v>
      </c>
      <c r="R16" s="14"/>
      <c r="S16" s="12" t="str">
        <f>"590,0"</f>
        <v>590,0</v>
      </c>
      <c r="T16" s="13" t="str">
        <f>"348,0705"</f>
        <v>348,0705</v>
      </c>
      <c r="U16" s="12" t="s">
        <v>27</v>
      </c>
    </row>
    <row r="17" spans="1:21">
      <c r="A17" s="15" t="s">
        <v>67</v>
      </c>
      <c r="B17" s="15" t="s">
        <v>68</v>
      </c>
      <c r="C17" s="15" t="s">
        <v>69</v>
      </c>
      <c r="D17" s="15" t="str">
        <f>"0,5813"</f>
        <v>0,5813</v>
      </c>
      <c r="E17" s="15" t="s">
        <v>32</v>
      </c>
      <c r="F17" s="15" t="s">
        <v>19</v>
      </c>
      <c r="G17" s="16" t="s">
        <v>38</v>
      </c>
      <c r="H17" s="17" t="s">
        <v>38</v>
      </c>
      <c r="I17" s="16" t="s">
        <v>33</v>
      </c>
      <c r="J17" s="16"/>
      <c r="K17" s="17" t="s">
        <v>35</v>
      </c>
      <c r="L17" s="16" t="s">
        <v>21</v>
      </c>
      <c r="M17" s="17" t="s">
        <v>21</v>
      </c>
      <c r="N17" s="16"/>
      <c r="O17" s="17" t="s">
        <v>38</v>
      </c>
      <c r="P17" s="17" t="s">
        <v>33</v>
      </c>
      <c r="Q17" s="17" t="s">
        <v>70</v>
      </c>
      <c r="R17" s="16"/>
      <c r="S17" s="15" t="str">
        <f>"545,0"</f>
        <v>545,0</v>
      </c>
      <c r="T17" s="17" t="str">
        <f>"316,8085"</f>
        <v>316,8085</v>
      </c>
      <c r="U17" s="15" t="s">
        <v>27</v>
      </c>
    </row>
    <row r="19" spans="1:21" ht="15">
      <c r="A19" s="48" t="s">
        <v>71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1:21">
      <c r="A20" s="6" t="s">
        <v>73</v>
      </c>
      <c r="B20" s="6" t="s">
        <v>74</v>
      </c>
      <c r="C20" s="6" t="s">
        <v>75</v>
      </c>
      <c r="D20" s="6" t="str">
        <f>"0,5713"</f>
        <v>0,5713</v>
      </c>
      <c r="E20" s="6" t="s">
        <v>32</v>
      </c>
      <c r="F20" s="6" t="s">
        <v>19</v>
      </c>
      <c r="G20" s="8" t="s">
        <v>56</v>
      </c>
      <c r="H20" s="8" t="s">
        <v>38</v>
      </c>
      <c r="I20" s="8" t="s">
        <v>33</v>
      </c>
      <c r="J20" s="7"/>
      <c r="K20" s="8" t="s">
        <v>44</v>
      </c>
      <c r="L20" s="8" t="s">
        <v>25</v>
      </c>
      <c r="M20" s="8" t="s">
        <v>26</v>
      </c>
      <c r="N20" s="7"/>
      <c r="O20" s="8" t="s">
        <v>34</v>
      </c>
      <c r="P20" s="8" t="s">
        <v>76</v>
      </c>
      <c r="Q20" s="8" t="s">
        <v>53</v>
      </c>
      <c r="R20" s="7"/>
      <c r="S20" s="6" t="str">
        <f>"610,0"</f>
        <v>610,0</v>
      </c>
      <c r="T20" s="8" t="str">
        <f>"348,4625"</f>
        <v>348,4625</v>
      </c>
      <c r="U20" s="6" t="s">
        <v>27</v>
      </c>
    </row>
    <row r="22" spans="1:21" ht="15">
      <c r="A22" s="48" t="s">
        <v>77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1">
      <c r="A23" s="6" t="s">
        <v>79</v>
      </c>
      <c r="B23" s="6" t="s">
        <v>80</v>
      </c>
      <c r="C23" s="6" t="s">
        <v>81</v>
      </c>
      <c r="D23" s="6" t="str">
        <f>"0,5496"</f>
        <v>0,5496</v>
      </c>
      <c r="E23" s="6" t="s">
        <v>32</v>
      </c>
      <c r="F23" s="6" t="s">
        <v>82</v>
      </c>
      <c r="G23" s="7" t="s">
        <v>83</v>
      </c>
      <c r="H23" s="7" t="s">
        <v>83</v>
      </c>
      <c r="I23" s="8" t="s">
        <v>83</v>
      </c>
      <c r="J23" s="7"/>
      <c r="K23" s="8" t="s">
        <v>84</v>
      </c>
      <c r="L23" s="8" t="s">
        <v>21</v>
      </c>
      <c r="M23" s="8" t="s">
        <v>85</v>
      </c>
      <c r="N23" s="7"/>
      <c r="O23" s="8" t="s">
        <v>33</v>
      </c>
      <c r="P23" s="8" t="s">
        <v>34</v>
      </c>
      <c r="Q23" s="7" t="s">
        <v>70</v>
      </c>
      <c r="R23" s="7"/>
      <c r="S23" s="6" t="str">
        <f>"525,0"</f>
        <v>525,0</v>
      </c>
      <c r="T23" s="8" t="str">
        <f>"288,5400"</f>
        <v>288,5400</v>
      </c>
      <c r="U23" s="6" t="s">
        <v>27</v>
      </c>
    </row>
    <row r="25" spans="1:21" ht="15">
      <c r="E25" s="18" t="s">
        <v>86</v>
      </c>
    </row>
    <row r="26" spans="1:21" ht="15">
      <c r="E26" s="18" t="s">
        <v>87</v>
      </c>
    </row>
    <row r="27" spans="1:21" ht="15">
      <c r="E27" s="18" t="s">
        <v>88</v>
      </c>
    </row>
    <row r="28" spans="1:21" ht="15">
      <c r="E28" s="18" t="s">
        <v>89</v>
      </c>
    </row>
    <row r="29" spans="1:21" ht="15">
      <c r="E29" s="18" t="s">
        <v>89</v>
      </c>
    </row>
    <row r="30" spans="1:21" ht="15">
      <c r="E30" s="18" t="s">
        <v>90</v>
      </c>
    </row>
    <row r="31" spans="1:21" ht="15">
      <c r="E31" s="18"/>
    </row>
    <row r="33" spans="1:5" ht="18">
      <c r="A33" s="19" t="s">
        <v>91</v>
      </c>
      <c r="B33" s="19"/>
    </row>
    <row r="34" spans="1:5" ht="15">
      <c r="A34" s="20" t="s">
        <v>92</v>
      </c>
      <c r="B34" s="20"/>
    </row>
    <row r="35" spans="1:5" ht="14.25">
      <c r="A35" s="22"/>
      <c r="B35" s="23" t="s">
        <v>93</v>
      </c>
    </row>
    <row r="36" spans="1:5" ht="15">
      <c r="A36" s="24" t="s">
        <v>94</v>
      </c>
      <c r="B36" s="24" t="s">
        <v>95</v>
      </c>
      <c r="C36" s="24" t="s">
        <v>96</v>
      </c>
      <c r="D36" s="24" t="s">
        <v>97</v>
      </c>
      <c r="E36" s="24" t="s">
        <v>98</v>
      </c>
    </row>
    <row r="37" spans="1:5">
      <c r="A37" s="21" t="s">
        <v>14</v>
      </c>
      <c r="B37" s="4" t="s">
        <v>93</v>
      </c>
      <c r="C37" s="4" t="s">
        <v>99</v>
      </c>
      <c r="D37" s="4" t="s">
        <v>100</v>
      </c>
      <c r="E37" s="25" t="s">
        <v>101</v>
      </c>
    </row>
    <row r="40" spans="1:5" ht="15">
      <c r="A40" s="20" t="s">
        <v>102</v>
      </c>
      <c r="B40" s="20"/>
    </row>
    <row r="41" spans="1:5" ht="14.25">
      <c r="A41" s="22"/>
      <c r="B41" s="23" t="s">
        <v>103</v>
      </c>
    </row>
    <row r="42" spans="1:5" ht="15">
      <c r="A42" s="24" t="s">
        <v>94</v>
      </c>
      <c r="B42" s="24" t="s">
        <v>95</v>
      </c>
      <c r="C42" s="24" t="s">
        <v>96</v>
      </c>
      <c r="D42" s="24" t="s">
        <v>97</v>
      </c>
      <c r="E42" s="24" t="s">
        <v>98</v>
      </c>
    </row>
    <row r="43" spans="1:5">
      <c r="A43" s="21" t="s">
        <v>40</v>
      </c>
      <c r="B43" s="4" t="s">
        <v>104</v>
      </c>
      <c r="C43" s="4" t="s">
        <v>105</v>
      </c>
      <c r="D43" s="4" t="s">
        <v>106</v>
      </c>
      <c r="E43" s="25" t="s">
        <v>107</v>
      </c>
    </row>
    <row r="45" spans="1:5" ht="14.25">
      <c r="A45" s="22"/>
      <c r="B45" s="23" t="s">
        <v>93</v>
      </c>
    </row>
    <row r="46" spans="1:5" ht="15">
      <c r="A46" s="24" t="s">
        <v>94</v>
      </c>
      <c r="B46" s="24" t="s">
        <v>95</v>
      </c>
      <c r="C46" s="24" t="s">
        <v>96</v>
      </c>
      <c r="D46" s="24" t="s">
        <v>97</v>
      </c>
      <c r="E46" s="24" t="s">
        <v>98</v>
      </c>
    </row>
    <row r="47" spans="1:5">
      <c r="A47" s="21" t="s">
        <v>47</v>
      </c>
      <c r="B47" s="4" t="s">
        <v>93</v>
      </c>
      <c r="C47" s="4" t="s">
        <v>108</v>
      </c>
      <c r="D47" s="4" t="s">
        <v>109</v>
      </c>
      <c r="E47" s="25" t="s">
        <v>110</v>
      </c>
    </row>
    <row r="48" spans="1:5">
      <c r="A48" s="21" t="s">
        <v>72</v>
      </c>
      <c r="B48" s="4" t="s">
        <v>93</v>
      </c>
      <c r="C48" s="4" t="s">
        <v>111</v>
      </c>
      <c r="D48" s="4" t="s">
        <v>112</v>
      </c>
      <c r="E48" s="25" t="s">
        <v>113</v>
      </c>
    </row>
    <row r="49" spans="1:5">
      <c r="A49" s="21" t="s">
        <v>60</v>
      </c>
      <c r="B49" s="4" t="s">
        <v>93</v>
      </c>
      <c r="C49" s="4" t="s">
        <v>108</v>
      </c>
      <c r="D49" s="4" t="s">
        <v>114</v>
      </c>
      <c r="E49" s="25" t="s">
        <v>115</v>
      </c>
    </row>
    <row r="50" spans="1:5">
      <c r="A50" s="21" t="s">
        <v>66</v>
      </c>
      <c r="B50" s="4" t="s">
        <v>93</v>
      </c>
      <c r="C50" s="4" t="s">
        <v>108</v>
      </c>
      <c r="D50" s="4" t="s">
        <v>116</v>
      </c>
      <c r="E50" s="25" t="s">
        <v>117</v>
      </c>
    </row>
    <row r="51" spans="1:5">
      <c r="A51" s="21" t="s">
        <v>78</v>
      </c>
      <c r="B51" s="4" t="s">
        <v>93</v>
      </c>
      <c r="C51" s="4" t="s">
        <v>118</v>
      </c>
      <c r="D51" s="4" t="s">
        <v>119</v>
      </c>
      <c r="E51" s="25" t="s">
        <v>120</v>
      </c>
    </row>
    <row r="53" spans="1:5" ht="14.25">
      <c r="A53" s="22"/>
      <c r="B53" s="23" t="s">
        <v>990</v>
      </c>
    </row>
    <row r="54" spans="1:5" ht="15">
      <c r="A54" s="24" t="s">
        <v>94</v>
      </c>
      <c r="B54" s="24" t="s">
        <v>95</v>
      </c>
      <c r="C54" s="24" t="s">
        <v>96</v>
      </c>
      <c r="D54" s="24" t="s">
        <v>97</v>
      </c>
      <c r="E54" s="24" t="s">
        <v>98</v>
      </c>
    </row>
    <row r="55" spans="1:5">
      <c r="A55" s="21" t="s">
        <v>29</v>
      </c>
      <c r="B55" s="36" t="s">
        <v>986</v>
      </c>
      <c r="C55" s="4" t="s">
        <v>121</v>
      </c>
      <c r="D55" s="4" t="s">
        <v>122</v>
      </c>
      <c r="E55" s="25" t="s">
        <v>123</v>
      </c>
    </row>
  </sheetData>
  <mergeCells count="19">
    <mergeCell ref="A22:T22"/>
    <mergeCell ref="A5:T5"/>
    <mergeCell ref="A8:T8"/>
    <mergeCell ref="A11:T11"/>
    <mergeCell ref="A14:T14"/>
    <mergeCell ref="A19:T19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topLeftCell="A51" workbookViewId="0">
      <selection activeCell="B70" sqref="B70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8.42578125" style="4" bestFit="1" customWidth="1"/>
    <col min="5" max="5" width="23.42578125" style="4" bestFit="1" customWidth="1"/>
    <col min="6" max="6" width="32.28515625" style="4" bestFit="1" customWidth="1"/>
    <col min="7" max="7" width="5.5703125" style="3" bestFit="1" customWidth="1"/>
    <col min="8" max="8" width="4.5703125" style="31" bestFit="1" customWidth="1"/>
    <col min="9" max="9" width="7.85546875" style="4" bestFit="1" customWidth="1"/>
    <col min="10" max="10" width="9.5703125" style="3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37" t="s">
        <v>968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2.1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6</v>
      </c>
      <c r="C3" s="45" t="s">
        <v>7</v>
      </c>
      <c r="D3" s="47" t="s">
        <v>9</v>
      </c>
      <c r="E3" s="47" t="s">
        <v>4</v>
      </c>
      <c r="F3" s="47" t="s">
        <v>8</v>
      </c>
      <c r="G3" s="47" t="s">
        <v>883</v>
      </c>
      <c r="H3" s="47"/>
      <c r="I3" s="47" t="s">
        <v>886</v>
      </c>
      <c r="J3" s="47" t="s">
        <v>3</v>
      </c>
      <c r="K3" s="49" t="s">
        <v>2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5" t="s">
        <v>884</v>
      </c>
      <c r="H4" s="26" t="s">
        <v>885</v>
      </c>
      <c r="I4" s="46"/>
      <c r="J4" s="46"/>
      <c r="K4" s="50"/>
    </row>
    <row r="5" spans="1:11" ht="15">
      <c r="A5" s="51" t="s">
        <v>278</v>
      </c>
      <c r="B5" s="51"/>
      <c r="C5" s="51"/>
      <c r="D5" s="51"/>
      <c r="E5" s="51"/>
      <c r="F5" s="51"/>
      <c r="G5" s="51"/>
      <c r="H5" s="51"/>
      <c r="I5" s="51"/>
      <c r="J5" s="51"/>
    </row>
    <row r="6" spans="1:11">
      <c r="A6" s="6" t="s">
        <v>423</v>
      </c>
      <c r="B6" s="6" t="s">
        <v>424</v>
      </c>
      <c r="C6" s="6" t="s">
        <v>425</v>
      </c>
      <c r="D6" s="6" t="str">
        <f>"0,9969"</f>
        <v>0,9969</v>
      </c>
      <c r="E6" s="6" t="s">
        <v>32</v>
      </c>
      <c r="F6" s="6" t="s">
        <v>19</v>
      </c>
      <c r="G6" s="8" t="s">
        <v>166</v>
      </c>
      <c r="H6" s="27" t="s">
        <v>887</v>
      </c>
      <c r="I6" s="6" t="str">
        <f>"1680,0"</f>
        <v>1680,0</v>
      </c>
      <c r="J6" s="8" t="str">
        <f>"1674,8760"</f>
        <v>1674,8760</v>
      </c>
      <c r="K6" s="6" t="s">
        <v>27</v>
      </c>
    </row>
    <row r="8" spans="1:11" ht="15">
      <c r="A8" s="48" t="s">
        <v>13</v>
      </c>
      <c r="B8" s="48"/>
      <c r="C8" s="48"/>
      <c r="D8" s="48"/>
      <c r="E8" s="48"/>
      <c r="F8" s="48"/>
      <c r="G8" s="48"/>
      <c r="H8" s="48"/>
      <c r="I8" s="48"/>
      <c r="J8" s="48"/>
    </row>
    <row r="9" spans="1:11">
      <c r="A9" s="9" t="s">
        <v>889</v>
      </c>
      <c r="B9" s="9" t="s">
        <v>890</v>
      </c>
      <c r="C9" s="9" t="s">
        <v>891</v>
      </c>
      <c r="D9" s="9" t="str">
        <f>"0,7650"</f>
        <v>0,7650</v>
      </c>
      <c r="E9" s="9" t="s">
        <v>32</v>
      </c>
      <c r="F9" s="9" t="s">
        <v>529</v>
      </c>
      <c r="G9" s="10" t="s">
        <v>274</v>
      </c>
      <c r="H9" s="28" t="s">
        <v>892</v>
      </c>
      <c r="I9" s="9" t="str">
        <f>"2227,5"</f>
        <v>2227,5</v>
      </c>
      <c r="J9" s="10" t="str">
        <f>"1704,1489"</f>
        <v>1704,1489</v>
      </c>
      <c r="K9" s="9" t="s">
        <v>27</v>
      </c>
    </row>
    <row r="10" spans="1:11">
      <c r="A10" s="15" t="s">
        <v>889</v>
      </c>
      <c r="B10" s="32" t="s">
        <v>969</v>
      </c>
      <c r="C10" s="15" t="s">
        <v>891</v>
      </c>
      <c r="D10" s="15" t="str">
        <f>"0,7650"</f>
        <v>0,7650</v>
      </c>
      <c r="E10" s="15" t="s">
        <v>32</v>
      </c>
      <c r="F10" s="15" t="s">
        <v>529</v>
      </c>
      <c r="G10" s="17" t="s">
        <v>274</v>
      </c>
      <c r="H10" s="29" t="s">
        <v>892</v>
      </c>
      <c r="I10" s="15" t="str">
        <f>"2227,5"</f>
        <v>2227,5</v>
      </c>
      <c r="J10" s="17" t="str">
        <f>"1721,1904"</f>
        <v>1721,1904</v>
      </c>
      <c r="K10" s="15" t="s">
        <v>27</v>
      </c>
    </row>
    <row r="12" spans="1:11" ht="15">
      <c r="A12" s="48" t="s">
        <v>169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1">
      <c r="A13" s="9" t="s">
        <v>894</v>
      </c>
      <c r="B13" s="9" t="s">
        <v>895</v>
      </c>
      <c r="C13" s="9" t="s">
        <v>896</v>
      </c>
      <c r="D13" s="9" t="str">
        <f>"0,7375"</f>
        <v>0,7375</v>
      </c>
      <c r="E13" s="9" t="s">
        <v>32</v>
      </c>
      <c r="F13" s="9" t="s">
        <v>19</v>
      </c>
      <c r="G13" s="10" t="s">
        <v>168</v>
      </c>
      <c r="H13" s="28" t="s">
        <v>133</v>
      </c>
      <c r="I13" s="9" t="str">
        <f>"2450,0"</f>
        <v>2450,0</v>
      </c>
      <c r="J13" s="10" t="str">
        <f>"1806,7525"</f>
        <v>1806,7525</v>
      </c>
      <c r="K13" s="9" t="s">
        <v>27</v>
      </c>
    </row>
    <row r="14" spans="1:11">
      <c r="A14" s="12" t="s">
        <v>897</v>
      </c>
      <c r="B14" s="12" t="s">
        <v>476</v>
      </c>
      <c r="C14" s="12" t="s">
        <v>477</v>
      </c>
      <c r="D14" s="12" t="str">
        <f>"0,7027"</f>
        <v>0,7027</v>
      </c>
      <c r="E14" s="12" t="s">
        <v>32</v>
      </c>
      <c r="F14" s="12" t="s">
        <v>19</v>
      </c>
      <c r="G14" s="13" t="s">
        <v>289</v>
      </c>
      <c r="H14" s="30" t="s">
        <v>132</v>
      </c>
      <c r="I14" s="12" t="str">
        <f>"2250,0"</f>
        <v>2250,0</v>
      </c>
      <c r="J14" s="13" t="str">
        <f>"1580,9625"</f>
        <v>1580,9625</v>
      </c>
      <c r="K14" s="12" t="s">
        <v>27</v>
      </c>
    </row>
    <row r="15" spans="1:11">
      <c r="A15" s="15" t="s">
        <v>894</v>
      </c>
      <c r="B15" s="32" t="s">
        <v>970</v>
      </c>
      <c r="C15" s="15" t="s">
        <v>896</v>
      </c>
      <c r="D15" s="15" t="str">
        <f>"0,7375"</f>
        <v>0,7375</v>
      </c>
      <c r="E15" s="15" t="s">
        <v>32</v>
      </c>
      <c r="F15" s="15" t="s">
        <v>19</v>
      </c>
      <c r="G15" s="17" t="s">
        <v>168</v>
      </c>
      <c r="H15" s="29" t="s">
        <v>133</v>
      </c>
      <c r="I15" s="15" t="str">
        <f>"2450,0"</f>
        <v>2450,0</v>
      </c>
      <c r="J15" s="17" t="str">
        <f>"1929,6117"</f>
        <v>1929,6117</v>
      </c>
      <c r="K15" s="15" t="s">
        <v>27</v>
      </c>
    </row>
    <row r="17" spans="1:11" ht="15">
      <c r="A17" s="48" t="s">
        <v>28</v>
      </c>
      <c r="B17" s="48"/>
      <c r="C17" s="48"/>
      <c r="D17" s="48"/>
      <c r="E17" s="48"/>
      <c r="F17" s="48"/>
      <c r="G17" s="48"/>
      <c r="H17" s="48"/>
      <c r="I17" s="48"/>
      <c r="J17" s="48"/>
    </row>
    <row r="18" spans="1:11">
      <c r="A18" s="9" t="s">
        <v>898</v>
      </c>
      <c r="B18" s="9" t="s">
        <v>524</v>
      </c>
      <c r="C18" s="9" t="s">
        <v>525</v>
      </c>
      <c r="D18" s="9" t="str">
        <f>"0,6561"</f>
        <v>0,6561</v>
      </c>
      <c r="E18" s="9" t="s">
        <v>32</v>
      </c>
      <c r="F18" s="9" t="s">
        <v>19</v>
      </c>
      <c r="G18" s="10" t="s">
        <v>375</v>
      </c>
      <c r="H18" s="28" t="s">
        <v>899</v>
      </c>
      <c r="I18" s="9" t="str">
        <f>"1897,5"</f>
        <v>1897,5</v>
      </c>
      <c r="J18" s="10" t="str">
        <f>"1245,0446"</f>
        <v>1245,0446</v>
      </c>
      <c r="K18" s="9" t="s">
        <v>27</v>
      </c>
    </row>
    <row r="19" spans="1:11">
      <c r="A19" s="15" t="s">
        <v>901</v>
      </c>
      <c r="B19" s="32" t="s">
        <v>971</v>
      </c>
      <c r="C19" s="15" t="s">
        <v>525</v>
      </c>
      <c r="D19" s="15" t="str">
        <f>"0,6561"</f>
        <v>0,6561</v>
      </c>
      <c r="E19" s="15" t="s">
        <v>32</v>
      </c>
      <c r="F19" s="15" t="s">
        <v>19</v>
      </c>
      <c r="G19" s="17" t="s">
        <v>375</v>
      </c>
      <c r="H19" s="29" t="s">
        <v>902</v>
      </c>
      <c r="I19" s="15" t="str">
        <f>"1980,0"</f>
        <v>1980,0</v>
      </c>
      <c r="J19" s="17" t="str">
        <f>"1774,6757"</f>
        <v>1774,6757</v>
      </c>
      <c r="K19" s="15" t="s">
        <v>27</v>
      </c>
    </row>
    <row r="21" spans="1:11" ht="15">
      <c r="A21" s="48" t="s">
        <v>39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1">
      <c r="A22" s="9" t="s">
        <v>904</v>
      </c>
      <c r="B22" s="9" t="s">
        <v>905</v>
      </c>
      <c r="C22" s="9" t="s">
        <v>906</v>
      </c>
      <c r="D22" s="9" t="str">
        <f>"0,6396"</f>
        <v>0,6396</v>
      </c>
      <c r="E22" s="9" t="s">
        <v>32</v>
      </c>
      <c r="F22" s="9" t="s">
        <v>19</v>
      </c>
      <c r="G22" s="10" t="s">
        <v>283</v>
      </c>
      <c r="H22" s="28" t="s">
        <v>132</v>
      </c>
      <c r="I22" s="9" t="str">
        <f>"2550,0"</f>
        <v>2550,0</v>
      </c>
      <c r="J22" s="10" t="str">
        <f>"1631,1075"</f>
        <v>1631,1075</v>
      </c>
      <c r="K22" s="9" t="s">
        <v>27</v>
      </c>
    </row>
    <row r="23" spans="1:11">
      <c r="A23" s="12" t="s">
        <v>907</v>
      </c>
      <c r="B23" s="12" t="s">
        <v>563</v>
      </c>
      <c r="C23" s="12" t="s">
        <v>564</v>
      </c>
      <c r="D23" s="12" t="str">
        <f>"0,6145"</f>
        <v>0,6145</v>
      </c>
      <c r="E23" s="12" t="s">
        <v>32</v>
      </c>
      <c r="F23" s="12" t="s">
        <v>19</v>
      </c>
      <c r="G23" s="13" t="s">
        <v>23</v>
      </c>
      <c r="H23" s="30" t="s">
        <v>908</v>
      </c>
      <c r="I23" s="12" t="str">
        <f>"1890,0"</f>
        <v>1890,0</v>
      </c>
      <c r="J23" s="13" t="str">
        <f>"1161,4995"</f>
        <v>1161,4995</v>
      </c>
      <c r="K23" s="12" t="s">
        <v>27</v>
      </c>
    </row>
    <row r="24" spans="1:11">
      <c r="A24" s="15" t="s">
        <v>910</v>
      </c>
      <c r="B24" s="15" t="s">
        <v>911</v>
      </c>
      <c r="C24" s="15" t="s">
        <v>537</v>
      </c>
      <c r="D24" s="15" t="str">
        <f>"0,6165"</f>
        <v>0,6165</v>
      </c>
      <c r="E24" s="15" t="s">
        <v>32</v>
      </c>
      <c r="F24" s="15" t="s">
        <v>19</v>
      </c>
      <c r="G24" s="17" t="s">
        <v>23</v>
      </c>
      <c r="H24" s="29" t="s">
        <v>912</v>
      </c>
      <c r="I24" s="15" t="str">
        <f>"1170,0"</f>
        <v>1170,0</v>
      </c>
      <c r="J24" s="17" t="str">
        <f>"721,2465"</f>
        <v>721,2465</v>
      </c>
      <c r="K24" s="15" t="s">
        <v>27</v>
      </c>
    </row>
    <row r="26" spans="1:11" ht="15">
      <c r="A26" s="48" t="s">
        <v>46</v>
      </c>
      <c r="B26" s="48"/>
      <c r="C26" s="48"/>
      <c r="D26" s="48"/>
      <c r="E26" s="48"/>
      <c r="F26" s="48"/>
      <c r="G26" s="48"/>
      <c r="H26" s="48"/>
      <c r="I26" s="48"/>
      <c r="J26" s="48"/>
    </row>
    <row r="27" spans="1:11">
      <c r="A27" s="9" t="s">
        <v>914</v>
      </c>
      <c r="B27" s="9" t="s">
        <v>915</v>
      </c>
      <c r="C27" s="9" t="s">
        <v>916</v>
      </c>
      <c r="D27" s="9" t="str">
        <f>"0,6061"</f>
        <v>0,6061</v>
      </c>
      <c r="E27" s="9" t="s">
        <v>32</v>
      </c>
      <c r="F27" s="9" t="s">
        <v>917</v>
      </c>
      <c r="G27" s="10" t="s">
        <v>135</v>
      </c>
      <c r="H27" s="28" t="s">
        <v>918</v>
      </c>
      <c r="I27" s="9" t="str">
        <f>"1665,0"</f>
        <v>1665,0</v>
      </c>
      <c r="J27" s="10" t="str">
        <f>"1009,0733"</f>
        <v>1009,0733</v>
      </c>
      <c r="K27" s="9" t="s">
        <v>27</v>
      </c>
    </row>
    <row r="28" spans="1:11">
      <c r="A28" s="15" t="s">
        <v>603</v>
      </c>
      <c r="B28" s="32" t="s">
        <v>972</v>
      </c>
      <c r="C28" s="15" t="s">
        <v>604</v>
      </c>
      <c r="D28" s="15" t="str">
        <f>"0,5990"</f>
        <v>0,5990</v>
      </c>
      <c r="E28" s="15" t="s">
        <v>32</v>
      </c>
      <c r="F28" s="15" t="s">
        <v>19</v>
      </c>
      <c r="G28" s="17" t="s">
        <v>24</v>
      </c>
      <c r="H28" s="29" t="s">
        <v>919</v>
      </c>
      <c r="I28" s="15" t="str">
        <f>"950,0"</f>
        <v>950,0</v>
      </c>
      <c r="J28" s="17" t="str">
        <f>"777,3223"</f>
        <v>777,3223</v>
      </c>
      <c r="K28" s="15" t="s">
        <v>27</v>
      </c>
    </row>
    <row r="30" spans="1:11" ht="15">
      <c r="A30" s="48" t="s">
        <v>71</v>
      </c>
      <c r="B30" s="48"/>
      <c r="C30" s="48"/>
      <c r="D30" s="48"/>
      <c r="E30" s="48"/>
      <c r="F30" s="48"/>
      <c r="G30" s="48"/>
      <c r="H30" s="48"/>
      <c r="I30" s="48"/>
      <c r="J30" s="48"/>
    </row>
    <row r="31" spans="1:11">
      <c r="A31" s="6" t="s">
        <v>615</v>
      </c>
      <c r="B31" s="33" t="s">
        <v>973</v>
      </c>
      <c r="C31" s="6" t="s">
        <v>616</v>
      </c>
      <c r="D31" s="6" t="str">
        <f>"0,5658"</f>
        <v>0,5658</v>
      </c>
      <c r="E31" s="6" t="s">
        <v>18</v>
      </c>
      <c r="F31" s="6" t="s">
        <v>19</v>
      </c>
      <c r="G31" s="8" t="s">
        <v>175</v>
      </c>
      <c r="H31" s="27" t="s">
        <v>908</v>
      </c>
      <c r="I31" s="6" t="str">
        <f>"2310,0"</f>
        <v>2310,0</v>
      </c>
      <c r="J31" s="8" t="str">
        <f>"1454,6888"</f>
        <v>1454,6888</v>
      </c>
      <c r="K31" s="6" t="s">
        <v>27</v>
      </c>
    </row>
    <row r="33" spans="1:11" ht="15">
      <c r="A33" s="48" t="s">
        <v>77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1">
      <c r="A34" s="6" t="s">
        <v>626</v>
      </c>
      <c r="B34" s="33" t="s">
        <v>974</v>
      </c>
      <c r="C34" s="6" t="s">
        <v>627</v>
      </c>
      <c r="D34" s="6" t="str">
        <f>"0,5459"</f>
        <v>0,5459</v>
      </c>
      <c r="E34" s="6" t="s">
        <v>624</v>
      </c>
      <c r="F34" s="6" t="s">
        <v>19</v>
      </c>
      <c r="G34" s="8" t="s">
        <v>36</v>
      </c>
      <c r="H34" s="27" t="s">
        <v>920</v>
      </c>
      <c r="I34" s="6" t="str">
        <f>"1750,0"</f>
        <v>1750,0</v>
      </c>
      <c r="J34" s="8" t="str">
        <f>"1170,2731"</f>
        <v>1170,2731</v>
      </c>
      <c r="K34" s="6" t="s">
        <v>27</v>
      </c>
    </row>
    <row r="36" spans="1:11" ht="15">
      <c r="E36" s="18" t="s">
        <v>86</v>
      </c>
    </row>
    <row r="37" spans="1:11" ht="15">
      <c r="E37" s="18" t="s">
        <v>87</v>
      </c>
    </row>
    <row r="38" spans="1:11" ht="15">
      <c r="E38" s="18" t="s">
        <v>88</v>
      </c>
    </row>
    <row r="39" spans="1:11" ht="15">
      <c r="E39" s="18" t="s">
        <v>89</v>
      </c>
    </row>
    <row r="40" spans="1:11" ht="15">
      <c r="E40" s="18" t="s">
        <v>89</v>
      </c>
    </row>
    <row r="41" spans="1:11" ht="15">
      <c r="E41" s="18" t="s">
        <v>90</v>
      </c>
    </row>
    <row r="42" spans="1:11" ht="15">
      <c r="E42" s="18"/>
    </row>
    <row r="44" spans="1:11" ht="18">
      <c r="A44" s="19" t="s">
        <v>91</v>
      </c>
      <c r="B44" s="19"/>
    </row>
    <row r="45" spans="1:11" ht="15">
      <c r="A45" s="20" t="s">
        <v>92</v>
      </c>
      <c r="B45" s="20"/>
    </row>
    <row r="46" spans="1:11" ht="14.25">
      <c r="A46" s="22"/>
      <c r="B46" s="23" t="s">
        <v>93</v>
      </c>
    </row>
    <row r="47" spans="1:11" ht="15">
      <c r="A47" s="24" t="s">
        <v>94</v>
      </c>
      <c r="B47" s="24" t="s">
        <v>95</v>
      </c>
      <c r="C47" s="24" t="s">
        <v>96</v>
      </c>
      <c r="D47" s="24" t="s">
        <v>97</v>
      </c>
      <c r="E47" s="24" t="s">
        <v>98</v>
      </c>
    </row>
    <row r="48" spans="1:11">
      <c r="A48" s="21" t="s">
        <v>422</v>
      </c>
      <c r="B48" s="4" t="s">
        <v>93</v>
      </c>
      <c r="C48" s="4" t="s">
        <v>344</v>
      </c>
      <c r="D48" s="4" t="s">
        <v>921</v>
      </c>
      <c r="E48" s="25" t="s">
        <v>922</v>
      </c>
    </row>
    <row r="51" spans="1:5" ht="15">
      <c r="A51" s="20" t="s">
        <v>102</v>
      </c>
      <c r="B51" s="20"/>
    </row>
    <row r="52" spans="1:5" ht="14.25">
      <c r="A52" s="22"/>
      <c r="B52" s="23" t="s">
        <v>93</v>
      </c>
    </row>
    <row r="53" spans="1:5" ht="15">
      <c r="A53" s="24" t="s">
        <v>94</v>
      </c>
      <c r="B53" s="24" t="s">
        <v>95</v>
      </c>
      <c r="C53" s="24" t="s">
        <v>96</v>
      </c>
      <c r="D53" s="24" t="s">
        <v>97</v>
      </c>
      <c r="E53" s="24" t="s">
        <v>98</v>
      </c>
    </row>
    <row r="54" spans="1:5">
      <c r="A54" s="21" t="s">
        <v>893</v>
      </c>
      <c r="B54" s="4" t="s">
        <v>93</v>
      </c>
      <c r="C54" s="4" t="s">
        <v>230</v>
      </c>
      <c r="D54" s="4" t="s">
        <v>923</v>
      </c>
      <c r="E54" s="25" t="s">
        <v>924</v>
      </c>
    </row>
    <row r="55" spans="1:5">
      <c r="A55" s="21" t="s">
        <v>888</v>
      </c>
      <c r="B55" s="4" t="s">
        <v>93</v>
      </c>
      <c r="C55" s="4" t="s">
        <v>99</v>
      </c>
      <c r="D55" s="4" t="s">
        <v>925</v>
      </c>
      <c r="E55" s="25" t="s">
        <v>926</v>
      </c>
    </row>
    <row r="56" spans="1:5">
      <c r="A56" s="21" t="s">
        <v>903</v>
      </c>
      <c r="B56" s="4" t="s">
        <v>93</v>
      </c>
      <c r="C56" s="4" t="s">
        <v>105</v>
      </c>
      <c r="D56" s="4" t="s">
        <v>927</v>
      </c>
      <c r="E56" s="25" t="s">
        <v>928</v>
      </c>
    </row>
    <row r="57" spans="1:5">
      <c r="A57" s="21" t="s">
        <v>474</v>
      </c>
      <c r="B57" s="4" t="s">
        <v>93</v>
      </c>
      <c r="C57" s="4" t="s">
        <v>230</v>
      </c>
      <c r="D57" s="4" t="s">
        <v>881</v>
      </c>
      <c r="E57" s="25" t="s">
        <v>929</v>
      </c>
    </row>
    <row r="58" spans="1:5">
      <c r="A58" s="21" t="s">
        <v>522</v>
      </c>
      <c r="B58" s="4" t="s">
        <v>93</v>
      </c>
      <c r="C58" s="4" t="s">
        <v>121</v>
      </c>
      <c r="D58" s="4" t="s">
        <v>930</v>
      </c>
      <c r="E58" s="25" t="s">
        <v>931</v>
      </c>
    </row>
    <row r="59" spans="1:5">
      <c r="A59" s="21" t="s">
        <v>561</v>
      </c>
      <c r="B59" s="4" t="s">
        <v>93</v>
      </c>
      <c r="C59" s="4" t="s">
        <v>105</v>
      </c>
      <c r="D59" s="4" t="s">
        <v>932</v>
      </c>
      <c r="E59" s="25" t="s">
        <v>933</v>
      </c>
    </row>
    <row r="60" spans="1:5">
      <c r="A60" s="21" t="s">
        <v>913</v>
      </c>
      <c r="B60" s="4" t="s">
        <v>93</v>
      </c>
      <c r="C60" s="4" t="s">
        <v>108</v>
      </c>
      <c r="D60" s="4" t="s">
        <v>934</v>
      </c>
      <c r="E60" s="25" t="s">
        <v>935</v>
      </c>
    </row>
    <row r="61" spans="1:5">
      <c r="A61" s="21" t="s">
        <v>909</v>
      </c>
      <c r="B61" s="4" t="s">
        <v>93</v>
      </c>
      <c r="C61" s="4" t="s">
        <v>105</v>
      </c>
      <c r="D61" s="4" t="s">
        <v>936</v>
      </c>
      <c r="E61" s="25" t="s">
        <v>937</v>
      </c>
    </row>
    <row r="63" spans="1:5" ht="14.25">
      <c r="A63" s="22"/>
      <c r="B63" s="23" t="s">
        <v>990</v>
      </c>
    </row>
    <row r="64" spans="1:5" ht="15">
      <c r="A64" s="24" t="s">
        <v>94</v>
      </c>
      <c r="B64" s="24" t="s">
        <v>95</v>
      </c>
      <c r="C64" s="24" t="s">
        <v>96</v>
      </c>
      <c r="D64" s="24" t="s">
        <v>97</v>
      </c>
      <c r="E64" s="24" t="s">
        <v>98</v>
      </c>
    </row>
    <row r="65" spans="1:5">
      <c r="A65" s="21" t="s">
        <v>893</v>
      </c>
      <c r="B65" s="36" t="s">
        <v>1006</v>
      </c>
      <c r="C65" s="4" t="s">
        <v>230</v>
      </c>
      <c r="D65" s="4" t="s">
        <v>923</v>
      </c>
      <c r="E65" s="25" t="s">
        <v>938</v>
      </c>
    </row>
    <row r="66" spans="1:5">
      <c r="A66" s="21" t="s">
        <v>900</v>
      </c>
      <c r="B66" s="36" t="s">
        <v>1007</v>
      </c>
      <c r="C66" s="4" t="s">
        <v>121</v>
      </c>
      <c r="D66" s="4" t="s">
        <v>939</v>
      </c>
      <c r="E66" s="25" t="s">
        <v>940</v>
      </c>
    </row>
    <row r="67" spans="1:5">
      <c r="A67" s="21" t="s">
        <v>888</v>
      </c>
      <c r="B67" s="36" t="s">
        <v>1006</v>
      </c>
      <c r="C67" s="4" t="s">
        <v>99</v>
      </c>
      <c r="D67" s="4" t="s">
        <v>925</v>
      </c>
      <c r="E67" s="25" t="s">
        <v>941</v>
      </c>
    </row>
    <row r="68" spans="1:5">
      <c r="A68" s="21" t="s">
        <v>614</v>
      </c>
      <c r="B68" s="36" t="s">
        <v>1006</v>
      </c>
      <c r="C68" s="4" t="s">
        <v>111</v>
      </c>
      <c r="D68" s="4" t="s">
        <v>942</v>
      </c>
      <c r="E68" s="25" t="s">
        <v>943</v>
      </c>
    </row>
    <row r="69" spans="1:5">
      <c r="A69" s="21" t="s">
        <v>625</v>
      </c>
      <c r="B69" s="36" t="s">
        <v>1008</v>
      </c>
      <c r="C69" s="4" t="s">
        <v>118</v>
      </c>
      <c r="D69" s="4" t="s">
        <v>944</v>
      </c>
      <c r="E69" s="25" t="s">
        <v>945</v>
      </c>
    </row>
    <row r="70" spans="1:5">
      <c r="A70" s="21" t="s">
        <v>602</v>
      </c>
      <c r="B70" s="36" t="s">
        <v>1007</v>
      </c>
      <c r="C70" s="4" t="s">
        <v>108</v>
      </c>
      <c r="D70" s="4" t="s">
        <v>946</v>
      </c>
      <c r="E70" s="25" t="s">
        <v>947</v>
      </c>
    </row>
  </sheetData>
  <mergeCells count="19">
    <mergeCell ref="A17:J17"/>
    <mergeCell ref="A21:J21"/>
    <mergeCell ref="A26:J26"/>
    <mergeCell ref="A30:J30"/>
    <mergeCell ref="A33:J33"/>
    <mergeCell ref="A12:J12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  <mergeCell ref="A8:J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topLeftCell="A35" workbookViewId="0">
      <selection activeCell="B55" sqref="B55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8.140625" style="4" bestFit="1" customWidth="1"/>
    <col min="7" max="7" width="5.5703125" style="3" bestFit="1" customWidth="1"/>
    <col min="8" max="8" width="4.5703125" style="31" bestFit="1" customWidth="1"/>
    <col min="9" max="9" width="7.85546875" style="4" bestFit="1" customWidth="1"/>
    <col min="10" max="10" width="9.5703125" style="3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37" t="s">
        <v>975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2.1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1" customFormat="1" ht="12.75" customHeight="1">
      <c r="A3" s="43" t="s">
        <v>0</v>
      </c>
      <c r="B3" s="45" t="s">
        <v>6</v>
      </c>
      <c r="C3" s="45" t="s">
        <v>7</v>
      </c>
      <c r="D3" s="47" t="s">
        <v>9</v>
      </c>
      <c r="E3" s="47" t="s">
        <v>4</v>
      </c>
      <c r="F3" s="47" t="s">
        <v>8</v>
      </c>
      <c r="G3" s="47" t="s">
        <v>883</v>
      </c>
      <c r="H3" s="47"/>
      <c r="I3" s="47" t="s">
        <v>886</v>
      </c>
      <c r="J3" s="47" t="s">
        <v>3</v>
      </c>
      <c r="K3" s="49" t="s">
        <v>2</v>
      </c>
    </row>
    <row r="4" spans="1:11" s="1" customFormat="1" ht="21" customHeight="1" thickBot="1">
      <c r="A4" s="44"/>
      <c r="B4" s="46"/>
      <c r="C4" s="46"/>
      <c r="D4" s="46"/>
      <c r="E4" s="46"/>
      <c r="F4" s="46"/>
      <c r="G4" s="5" t="s">
        <v>884</v>
      </c>
      <c r="H4" s="26" t="s">
        <v>885</v>
      </c>
      <c r="I4" s="46"/>
      <c r="J4" s="46"/>
      <c r="K4" s="50"/>
    </row>
    <row r="5" spans="1:11" ht="15">
      <c r="A5" s="51" t="s">
        <v>13</v>
      </c>
      <c r="B5" s="51"/>
      <c r="C5" s="51"/>
      <c r="D5" s="51"/>
      <c r="E5" s="51"/>
      <c r="F5" s="51"/>
      <c r="G5" s="51"/>
      <c r="H5" s="51"/>
      <c r="I5" s="51"/>
      <c r="J5" s="51"/>
    </row>
    <row r="6" spans="1:11">
      <c r="A6" s="6" t="s">
        <v>158</v>
      </c>
      <c r="B6" s="6" t="s">
        <v>159</v>
      </c>
      <c r="C6" s="6" t="s">
        <v>160</v>
      </c>
      <c r="D6" s="6" t="str">
        <f>"0,9439"</f>
        <v>0,9439</v>
      </c>
      <c r="E6" s="6" t="s">
        <v>51</v>
      </c>
      <c r="F6" s="6" t="s">
        <v>19</v>
      </c>
      <c r="G6" s="8" t="s">
        <v>167</v>
      </c>
      <c r="H6" s="27" t="s">
        <v>838</v>
      </c>
      <c r="I6" s="6" t="str">
        <f>"1105,0"</f>
        <v>1105,0</v>
      </c>
      <c r="J6" s="8" t="str">
        <f>"1043,0095"</f>
        <v>1043,0095</v>
      </c>
      <c r="K6" s="6" t="s">
        <v>27</v>
      </c>
    </row>
    <row r="8" spans="1:11" ht="15">
      <c r="A8" s="48" t="s">
        <v>39</v>
      </c>
      <c r="B8" s="48"/>
      <c r="C8" s="48"/>
      <c r="D8" s="48"/>
      <c r="E8" s="48"/>
      <c r="F8" s="48"/>
      <c r="G8" s="48"/>
      <c r="H8" s="48"/>
      <c r="I8" s="48"/>
      <c r="J8" s="48"/>
    </row>
    <row r="9" spans="1:11">
      <c r="A9" s="9" t="s">
        <v>840</v>
      </c>
      <c r="B9" s="9" t="s">
        <v>841</v>
      </c>
      <c r="C9" s="9" t="s">
        <v>842</v>
      </c>
      <c r="D9" s="9" t="str">
        <f>"0,6317"</f>
        <v>0,6317</v>
      </c>
      <c r="E9" s="9" t="s">
        <v>32</v>
      </c>
      <c r="F9" s="9" t="s">
        <v>19</v>
      </c>
      <c r="G9" s="10" t="s">
        <v>161</v>
      </c>
      <c r="H9" s="28" t="s">
        <v>843</v>
      </c>
      <c r="I9" s="9" t="str">
        <f>"2537,5"</f>
        <v>2537,5</v>
      </c>
      <c r="J9" s="10" t="str">
        <f>"1602,9387"</f>
        <v>1602,9387</v>
      </c>
      <c r="K9" s="9" t="s">
        <v>27</v>
      </c>
    </row>
    <row r="10" spans="1:11">
      <c r="A10" s="15" t="s">
        <v>189</v>
      </c>
      <c r="B10" s="15" t="s">
        <v>190</v>
      </c>
      <c r="C10" s="15" t="s">
        <v>191</v>
      </c>
      <c r="D10" s="15" t="str">
        <f>"0,6119"</f>
        <v>0,6119</v>
      </c>
      <c r="E10" s="15" t="s">
        <v>51</v>
      </c>
      <c r="F10" s="15" t="s">
        <v>19</v>
      </c>
      <c r="G10" s="17" t="s">
        <v>23</v>
      </c>
      <c r="H10" s="29" t="s">
        <v>844</v>
      </c>
      <c r="I10" s="15" t="str">
        <f>"4410,0"</f>
        <v>4410,0</v>
      </c>
      <c r="J10" s="17" t="str">
        <f>"2698,2586"</f>
        <v>2698,2586</v>
      </c>
      <c r="K10" s="15" t="s">
        <v>27</v>
      </c>
    </row>
    <row r="12" spans="1:11" ht="15">
      <c r="A12" s="48" t="s">
        <v>46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1">
      <c r="A13" s="9" t="s">
        <v>846</v>
      </c>
      <c r="B13" s="9" t="s">
        <v>847</v>
      </c>
      <c r="C13" s="9" t="s">
        <v>599</v>
      </c>
      <c r="D13" s="9" t="str">
        <f>"0,5914"</f>
        <v>0,5914</v>
      </c>
      <c r="E13" s="9" t="s">
        <v>32</v>
      </c>
      <c r="F13" s="9" t="s">
        <v>848</v>
      </c>
      <c r="G13" s="10" t="s">
        <v>268</v>
      </c>
      <c r="H13" s="28" t="s">
        <v>849</v>
      </c>
      <c r="I13" s="9" t="str">
        <f>"3705,0"</f>
        <v>3705,0</v>
      </c>
      <c r="J13" s="10" t="str">
        <f>"2191,1371"</f>
        <v>2191,1371</v>
      </c>
      <c r="K13" s="9" t="s">
        <v>27</v>
      </c>
    </row>
    <row r="14" spans="1:11">
      <c r="A14" s="15" t="s">
        <v>851</v>
      </c>
      <c r="B14" s="32" t="s">
        <v>976</v>
      </c>
      <c r="C14" s="15" t="s">
        <v>852</v>
      </c>
      <c r="D14" s="15" t="str">
        <f>"0,5955"</f>
        <v>0,5955</v>
      </c>
      <c r="E14" s="15" t="s">
        <v>32</v>
      </c>
      <c r="F14" s="15" t="s">
        <v>207</v>
      </c>
      <c r="G14" s="17" t="s">
        <v>24</v>
      </c>
      <c r="H14" s="29" t="s">
        <v>853</v>
      </c>
      <c r="I14" s="15" t="str">
        <f>"2375,0"</f>
        <v>2375,0</v>
      </c>
      <c r="J14" s="17" t="str">
        <f>"1530,2861"</f>
        <v>1530,2861</v>
      </c>
      <c r="K14" s="15" t="s">
        <v>27</v>
      </c>
    </row>
    <row r="16" spans="1:11" ht="15">
      <c r="A16" s="48" t="s">
        <v>71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1">
      <c r="A17" s="9" t="s">
        <v>211</v>
      </c>
      <c r="B17" s="9" t="s">
        <v>212</v>
      </c>
      <c r="C17" s="9" t="s">
        <v>213</v>
      </c>
      <c r="D17" s="9" t="str">
        <f>"0,5664"</f>
        <v>0,5664</v>
      </c>
      <c r="E17" s="9" t="s">
        <v>32</v>
      </c>
      <c r="F17" s="9" t="s">
        <v>214</v>
      </c>
      <c r="G17" s="10" t="s">
        <v>381</v>
      </c>
      <c r="H17" s="28" t="s">
        <v>854</v>
      </c>
      <c r="I17" s="9" t="str">
        <f>"4192,5"</f>
        <v>4192,5</v>
      </c>
      <c r="J17" s="10" t="str">
        <f>"2374,8416"</f>
        <v>2374,8416</v>
      </c>
      <c r="K17" s="9" t="s">
        <v>27</v>
      </c>
    </row>
    <row r="18" spans="1:11">
      <c r="A18" s="12" t="s">
        <v>856</v>
      </c>
      <c r="B18" s="12" t="s">
        <v>857</v>
      </c>
      <c r="C18" s="12" t="s">
        <v>858</v>
      </c>
      <c r="D18" s="12" t="str">
        <f>"0,5760"</f>
        <v>0,5760</v>
      </c>
      <c r="E18" s="12" t="s">
        <v>32</v>
      </c>
      <c r="F18" s="12" t="s">
        <v>859</v>
      </c>
      <c r="G18" s="13" t="s">
        <v>269</v>
      </c>
      <c r="H18" s="30" t="s">
        <v>860</v>
      </c>
      <c r="I18" s="12" t="str">
        <f>"3792,5"</f>
        <v>3792,5</v>
      </c>
      <c r="J18" s="13" t="str">
        <f>"2184,6696"</f>
        <v>2184,6696</v>
      </c>
      <c r="K18" s="12" t="s">
        <v>27</v>
      </c>
    </row>
    <row r="19" spans="1:11">
      <c r="A19" s="15" t="s">
        <v>861</v>
      </c>
      <c r="B19" s="32" t="s">
        <v>977</v>
      </c>
      <c r="C19" s="15" t="s">
        <v>858</v>
      </c>
      <c r="D19" s="15" t="str">
        <f>"0,5760"</f>
        <v>0,5760</v>
      </c>
      <c r="E19" s="15" t="s">
        <v>32</v>
      </c>
      <c r="F19" s="15" t="s">
        <v>859</v>
      </c>
      <c r="G19" s="17" t="s">
        <v>269</v>
      </c>
      <c r="H19" s="29" t="s">
        <v>860</v>
      </c>
      <c r="I19" s="15" t="str">
        <f>"3792,5"</f>
        <v>3792,5</v>
      </c>
      <c r="J19" s="17" t="str">
        <f>"2278,6104"</f>
        <v>2278,6104</v>
      </c>
      <c r="K19" s="15" t="s">
        <v>27</v>
      </c>
    </row>
    <row r="21" spans="1:11" ht="15">
      <c r="A21" s="48" t="s">
        <v>77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1">
      <c r="A22" s="6" t="s">
        <v>863</v>
      </c>
      <c r="B22" s="33" t="s">
        <v>978</v>
      </c>
      <c r="C22" s="6" t="s">
        <v>864</v>
      </c>
      <c r="D22" s="6" t="str">
        <f>"0,5609"</f>
        <v>0,5609</v>
      </c>
      <c r="E22" s="6" t="s">
        <v>32</v>
      </c>
      <c r="F22" s="6" t="s">
        <v>19</v>
      </c>
      <c r="G22" s="8" t="s">
        <v>182</v>
      </c>
      <c r="H22" s="27" t="s">
        <v>865</v>
      </c>
      <c r="I22" s="6" t="str">
        <f>"2250,0"</f>
        <v>2250,0</v>
      </c>
      <c r="J22" s="8" t="str">
        <f>"1331,5550"</f>
        <v>1331,5550</v>
      </c>
      <c r="K22" s="6" t="s">
        <v>27</v>
      </c>
    </row>
    <row r="24" spans="1:11" ht="15">
      <c r="E24" s="18" t="s">
        <v>86</v>
      </c>
    </row>
    <row r="25" spans="1:11" ht="15">
      <c r="E25" s="18" t="s">
        <v>87</v>
      </c>
    </row>
    <row r="26" spans="1:11" ht="15">
      <c r="E26" s="18" t="s">
        <v>88</v>
      </c>
    </row>
    <row r="27" spans="1:11" ht="15">
      <c r="E27" s="18" t="s">
        <v>89</v>
      </c>
    </row>
    <row r="28" spans="1:11" ht="15">
      <c r="E28" s="18" t="s">
        <v>89</v>
      </c>
    </row>
    <row r="29" spans="1:11" ht="15">
      <c r="E29" s="18" t="s">
        <v>90</v>
      </c>
    </row>
    <row r="30" spans="1:11" ht="15">
      <c r="E30" s="18"/>
    </row>
    <row r="32" spans="1:11" ht="18">
      <c r="A32" s="19" t="s">
        <v>91</v>
      </c>
      <c r="B32" s="19"/>
    </row>
    <row r="33" spans="1:5" ht="15">
      <c r="A33" s="20" t="s">
        <v>92</v>
      </c>
      <c r="B33" s="20"/>
    </row>
    <row r="34" spans="1:5" ht="14.25">
      <c r="A34" s="22"/>
      <c r="B34" s="23" t="s">
        <v>93</v>
      </c>
    </row>
    <row r="35" spans="1:5" ht="15">
      <c r="A35" s="24" t="s">
        <v>94</v>
      </c>
      <c r="B35" s="24" t="s">
        <v>95</v>
      </c>
      <c r="C35" s="24" t="s">
        <v>96</v>
      </c>
      <c r="D35" s="24" t="s">
        <v>97</v>
      </c>
      <c r="E35" s="24" t="s">
        <v>98</v>
      </c>
    </row>
    <row r="36" spans="1:5">
      <c r="A36" s="21" t="s">
        <v>157</v>
      </c>
      <c r="B36" s="4" t="s">
        <v>93</v>
      </c>
      <c r="C36" s="4" t="s">
        <v>99</v>
      </c>
      <c r="D36" s="4" t="s">
        <v>866</v>
      </c>
      <c r="E36" s="25" t="s">
        <v>867</v>
      </c>
    </row>
    <row r="39" spans="1:5" ht="15">
      <c r="A39" s="20" t="s">
        <v>102</v>
      </c>
      <c r="B39" s="20"/>
    </row>
    <row r="40" spans="1:5" ht="14.25">
      <c r="A40" s="22"/>
      <c r="B40" s="23" t="s">
        <v>103</v>
      </c>
    </row>
    <row r="41" spans="1:5" ht="15">
      <c r="A41" s="24" t="s">
        <v>94</v>
      </c>
      <c r="B41" s="24" t="s">
        <v>95</v>
      </c>
      <c r="C41" s="24" t="s">
        <v>96</v>
      </c>
      <c r="D41" s="24" t="s">
        <v>97</v>
      </c>
      <c r="E41" s="24" t="s">
        <v>98</v>
      </c>
    </row>
    <row r="42" spans="1:5">
      <c r="A42" s="21" t="s">
        <v>839</v>
      </c>
      <c r="B42" s="4" t="s">
        <v>104</v>
      </c>
      <c r="C42" s="4" t="s">
        <v>105</v>
      </c>
      <c r="D42" s="4" t="s">
        <v>868</v>
      </c>
      <c r="E42" s="25" t="s">
        <v>869</v>
      </c>
    </row>
    <row r="44" spans="1:5" ht="14.25">
      <c r="A44" s="22"/>
      <c r="B44" s="23" t="s">
        <v>93</v>
      </c>
    </row>
    <row r="45" spans="1:5" ht="15">
      <c r="A45" s="24" t="s">
        <v>94</v>
      </c>
      <c r="B45" s="24" t="s">
        <v>95</v>
      </c>
      <c r="C45" s="24" t="s">
        <v>96</v>
      </c>
      <c r="D45" s="24" t="s">
        <v>97</v>
      </c>
      <c r="E45" s="24" t="s">
        <v>98</v>
      </c>
    </row>
    <row r="46" spans="1:5">
      <c r="A46" s="21" t="s">
        <v>188</v>
      </c>
      <c r="B46" s="4" t="s">
        <v>93</v>
      </c>
      <c r="C46" s="4" t="s">
        <v>105</v>
      </c>
      <c r="D46" s="4" t="s">
        <v>870</v>
      </c>
      <c r="E46" s="25" t="s">
        <v>871</v>
      </c>
    </row>
    <row r="47" spans="1:5">
      <c r="A47" s="21" t="s">
        <v>210</v>
      </c>
      <c r="B47" s="4" t="s">
        <v>93</v>
      </c>
      <c r="C47" s="4" t="s">
        <v>111</v>
      </c>
      <c r="D47" s="4" t="s">
        <v>872</v>
      </c>
      <c r="E47" s="25" t="s">
        <v>873</v>
      </c>
    </row>
    <row r="48" spans="1:5">
      <c r="A48" s="21" t="s">
        <v>845</v>
      </c>
      <c r="B48" s="4" t="s">
        <v>93</v>
      </c>
      <c r="C48" s="4" t="s">
        <v>108</v>
      </c>
      <c r="D48" s="4" t="s">
        <v>874</v>
      </c>
      <c r="E48" s="25" t="s">
        <v>875</v>
      </c>
    </row>
    <row r="49" spans="1:5">
      <c r="A49" s="21" t="s">
        <v>855</v>
      </c>
      <c r="B49" s="4" t="s">
        <v>93</v>
      </c>
      <c r="C49" s="4" t="s">
        <v>111</v>
      </c>
      <c r="D49" s="4" t="s">
        <v>876</v>
      </c>
      <c r="E49" s="25" t="s">
        <v>877</v>
      </c>
    </row>
    <row r="51" spans="1:5" ht="14.25">
      <c r="A51" s="22"/>
      <c r="B51" s="23" t="s">
        <v>990</v>
      </c>
    </row>
    <row r="52" spans="1:5" ht="15">
      <c r="A52" s="24" t="s">
        <v>94</v>
      </c>
      <c r="B52" s="24" t="s">
        <v>95</v>
      </c>
      <c r="C52" s="24" t="s">
        <v>96</v>
      </c>
      <c r="D52" s="24" t="s">
        <v>97</v>
      </c>
      <c r="E52" s="24" t="s">
        <v>98</v>
      </c>
    </row>
    <row r="53" spans="1:5">
      <c r="A53" s="21" t="s">
        <v>855</v>
      </c>
      <c r="B53" s="36" t="s">
        <v>1006</v>
      </c>
      <c r="C53" s="4" t="s">
        <v>111</v>
      </c>
      <c r="D53" s="4" t="s">
        <v>876</v>
      </c>
      <c r="E53" s="25" t="s">
        <v>878</v>
      </c>
    </row>
    <row r="54" spans="1:5">
      <c r="A54" s="21" t="s">
        <v>850</v>
      </c>
      <c r="B54" s="36" t="s">
        <v>1006</v>
      </c>
      <c r="C54" s="4" t="s">
        <v>108</v>
      </c>
      <c r="D54" s="4" t="s">
        <v>879</v>
      </c>
      <c r="E54" s="25" t="s">
        <v>880</v>
      </c>
    </row>
    <row r="55" spans="1:5">
      <c r="A55" s="21" t="s">
        <v>862</v>
      </c>
      <c r="B55" s="36" t="s">
        <v>1006</v>
      </c>
      <c r="C55" s="4" t="s">
        <v>118</v>
      </c>
      <c r="D55" s="4" t="s">
        <v>881</v>
      </c>
      <c r="E55" s="25" t="s">
        <v>882</v>
      </c>
    </row>
  </sheetData>
  <mergeCells count="16">
    <mergeCell ref="A16:J16"/>
    <mergeCell ref="A21:J21"/>
    <mergeCell ref="I3:I4"/>
    <mergeCell ref="J3:J4"/>
    <mergeCell ref="K3:K4"/>
    <mergeCell ref="A5:J5"/>
    <mergeCell ref="A8:J8"/>
    <mergeCell ref="A12:J12"/>
    <mergeCell ref="A1:K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sqref="A1:M2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1.8554687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37" t="s">
        <v>979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.1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6</v>
      </c>
      <c r="C3" s="45" t="s">
        <v>7</v>
      </c>
      <c r="D3" s="47" t="s">
        <v>9</v>
      </c>
      <c r="E3" s="47" t="s">
        <v>4</v>
      </c>
      <c r="F3" s="47" t="s">
        <v>8</v>
      </c>
      <c r="G3" s="47" t="s">
        <v>12</v>
      </c>
      <c r="H3" s="47"/>
      <c r="I3" s="47"/>
      <c r="J3" s="47"/>
      <c r="K3" s="47" t="s">
        <v>244</v>
      </c>
      <c r="L3" s="47" t="s">
        <v>3</v>
      </c>
      <c r="M3" s="49" t="s">
        <v>2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5">
        <v>1</v>
      </c>
      <c r="H4" s="5">
        <v>2</v>
      </c>
      <c r="I4" s="5">
        <v>3</v>
      </c>
      <c r="J4" s="5" t="s">
        <v>5</v>
      </c>
      <c r="K4" s="46"/>
      <c r="L4" s="46"/>
      <c r="M4" s="50"/>
    </row>
    <row r="5" spans="1:13" ht="15">
      <c r="A5" s="51" t="s">
        <v>408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>
      <c r="A6" s="6" t="s">
        <v>832</v>
      </c>
      <c r="B6" s="6" t="s">
        <v>833</v>
      </c>
      <c r="C6" s="6" t="s">
        <v>834</v>
      </c>
      <c r="D6" s="6" t="str">
        <f>"1,1144"</f>
        <v>1,1144</v>
      </c>
      <c r="E6" s="6" t="s">
        <v>835</v>
      </c>
      <c r="F6" s="6" t="s">
        <v>836</v>
      </c>
      <c r="G6" s="8" t="s">
        <v>21</v>
      </c>
      <c r="H6" s="8" t="s">
        <v>44</v>
      </c>
      <c r="I6" s="8" t="s">
        <v>25</v>
      </c>
      <c r="J6" s="7"/>
      <c r="K6" s="6" t="str">
        <f>"160,0"</f>
        <v>160,0</v>
      </c>
      <c r="L6" s="8" t="str">
        <f>"178,3040"</f>
        <v>178,3040</v>
      </c>
      <c r="M6" s="6" t="s">
        <v>27</v>
      </c>
    </row>
    <row r="8" spans="1:13" ht="15">
      <c r="E8" s="18" t="s">
        <v>86</v>
      </c>
    </row>
    <row r="9" spans="1:13" ht="15">
      <c r="E9" s="18" t="s">
        <v>87</v>
      </c>
    </row>
    <row r="10" spans="1:13" ht="15">
      <c r="E10" s="18" t="s">
        <v>88</v>
      </c>
    </row>
    <row r="11" spans="1:13" ht="15">
      <c r="E11" s="18" t="s">
        <v>89</v>
      </c>
    </row>
    <row r="12" spans="1:13" ht="15">
      <c r="E12" s="18" t="s">
        <v>89</v>
      </c>
    </row>
    <row r="13" spans="1:13" ht="15">
      <c r="E13" s="18" t="s">
        <v>90</v>
      </c>
    </row>
    <row r="14" spans="1:13" ht="15">
      <c r="E14" s="18"/>
    </row>
    <row r="16" spans="1:13" ht="18">
      <c r="A16" s="19" t="s">
        <v>91</v>
      </c>
      <c r="B16" s="19"/>
    </row>
    <row r="17" spans="1:5" ht="15">
      <c r="A17" s="20" t="s">
        <v>92</v>
      </c>
      <c r="B17" s="20"/>
    </row>
    <row r="18" spans="1:5" ht="14.25">
      <c r="A18" s="22"/>
      <c r="B18" s="23" t="s">
        <v>93</v>
      </c>
    </row>
    <row r="19" spans="1:5" ht="15">
      <c r="A19" s="24" t="s">
        <v>94</v>
      </c>
      <c r="B19" s="24" t="s">
        <v>95</v>
      </c>
      <c r="C19" s="24" t="s">
        <v>96</v>
      </c>
      <c r="D19" s="24" t="s">
        <v>97</v>
      </c>
      <c r="E19" s="24" t="s">
        <v>98</v>
      </c>
    </row>
    <row r="20" spans="1:5">
      <c r="A20" s="21" t="s">
        <v>831</v>
      </c>
      <c r="B20" s="4" t="s">
        <v>93</v>
      </c>
      <c r="C20" s="4" t="s">
        <v>634</v>
      </c>
      <c r="D20" s="4" t="s">
        <v>25</v>
      </c>
      <c r="E20" s="25" t="s">
        <v>837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8"/>
  <sheetViews>
    <sheetView topLeftCell="A43" workbookViewId="0">
      <selection activeCell="B50" sqref="B50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9.710937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37" t="s">
        <v>980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.1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6</v>
      </c>
      <c r="C3" s="45" t="s">
        <v>7</v>
      </c>
      <c r="D3" s="47" t="s">
        <v>9</v>
      </c>
      <c r="E3" s="47" t="s">
        <v>4</v>
      </c>
      <c r="F3" s="47" t="s">
        <v>8</v>
      </c>
      <c r="G3" s="47" t="s">
        <v>12</v>
      </c>
      <c r="H3" s="47"/>
      <c r="I3" s="47"/>
      <c r="J3" s="47"/>
      <c r="K3" s="47" t="s">
        <v>244</v>
      </c>
      <c r="L3" s="47" t="s">
        <v>3</v>
      </c>
      <c r="M3" s="49" t="s">
        <v>2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5">
        <v>1</v>
      </c>
      <c r="H4" s="5">
        <v>2</v>
      </c>
      <c r="I4" s="5">
        <v>3</v>
      </c>
      <c r="J4" s="5" t="s">
        <v>5</v>
      </c>
      <c r="K4" s="46"/>
      <c r="L4" s="46"/>
      <c r="M4" s="50"/>
    </row>
    <row r="5" spans="1:13" ht="15">
      <c r="A5" s="51" t="s">
        <v>278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>
      <c r="A6" s="9" t="s">
        <v>763</v>
      </c>
      <c r="B6" s="9" t="s">
        <v>764</v>
      </c>
      <c r="C6" s="9" t="s">
        <v>443</v>
      </c>
      <c r="D6" s="9" t="str">
        <f>"1,0065"</f>
        <v>1,0065</v>
      </c>
      <c r="E6" s="9" t="s">
        <v>32</v>
      </c>
      <c r="F6" s="9" t="s">
        <v>19</v>
      </c>
      <c r="G6" s="10" t="s">
        <v>173</v>
      </c>
      <c r="H6" s="10" t="s">
        <v>175</v>
      </c>
      <c r="I6" s="10" t="s">
        <v>45</v>
      </c>
      <c r="J6" s="11"/>
      <c r="K6" s="9" t="str">
        <f>"115,0"</f>
        <v>115,0</v>
      </c>
      <c r="L6" s="10" t="str">
        <f>"115,7475"</f>
        <v>115,7475</v>
      </c>
      <c r="M6" s="9" t="s">
        <v>27</v>
      </c>
    </row>
    <row r="7" spans="1:13">
      <c r="A7" s="12" t="s">
        <v>766</v>
      </c>
      <c r="B7" s="12" t="s">
        <v>767</v>
      </c>
      <c r="C7" s="12" t="s">
        <v>768</v>
      </c>
      <c r="D7" s="12" t="str">
        <f>"1,0220"</f>
        <v>1,0220</v>
      </c>
      <c r="E7" s="12" t="s">
        <v>32</v>
      </c>
      <c r="F7" s="12" t="s">
        <v>19</v>
      </c>
      <c r="G7" s="13" t="s">
        <v>173</v>
      </c>
      <c r="H7" s="14" t="s">
        <v>174</v>
      </c>
      <c r="I7" s="14" t="s">
        <v>175</v>
      </c>
      <c r="J7" s="14"/>
      <c r="K7" s="12" t="str">
        <f>"100,0"</f>
        <v>100,0</v>
      </c>
      <c r="L7" s="13" t="str">
        <f>"102,2000"</f>
        <v>102,2000</v>
      </c>
      <c r="M7" s="12" t="s">
        <v>27</v>
      </c>
    </row>
    <row r="8" spans="1:13">
      <c r="A8" s="15" t="s">
        <v>770</v>
      </c>
      <c r="B8" s="32" t="s">
        <v>981</v>
      </c>
      <c r="C8" s="15" t="s">
        <v>771</v>
      </c>
      <c r="D8" s="15" t="str">
        <f>"0,9916"</f>
        <v>0,9916</v>
      </c>
      <c r="E8" s="15" t="s">
        <v>32</v>
      </c>
      <c r="F8" s="15" t="s">
        <v>19</v>
      </c>
      <c r="G8" s="17" t="s">
        <v>131</v>
      </c>
      <c r="H8" s="17" t="s">
        <v>166</v>
      </c>
      <c r="I8" s="17" t="s">
        <v>168</v>
      </c>
      <c r="J8" s="16"/>
      <c r="K8" s="15" t="str">
        <f>"70,0"</f>
        <v>70,0</v>
      </c>
      <c r="L8" s="17" t="str">
        <f>"77,2556"</f>
        <v>77,2556</v>
      </c>
      <c r="M8" s="15" t="s">
        <v>27</v>
      </c>
    </row>
    <row r="10" spans="1:13" ht="15">
      <c r="A10" s="48" t="s">
        <v>169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3">
      <c r="A11" s="9" t="s">
        <v>773</v>
      </c>
      <c r="B11" s="9" t="s">
        <v>774</v>
      </c>
      <c r="C11" s="9" t="s">
        <v>485</v>
      </c>
      <c r="D11" s="9" t="str">
        <f>"0,6990"</f>
        <v>0,6990</v>
      </c>
      <c r="E11" s="9" t="s">
        <v>32</v>
      </c>
      <c r="F11" s="9" t="s">
        <v>19</v>
      </c>
      <c r="G11" s="11" t="s">
        <v>37</v>
      </c>
      <c r="H11" s="10" t="s">
        <v>37</v>
      </c>
      <c r="I11" s="11" t="s">
        <v>321</v>
      </c>
      <c r="J11" s="11"/>
      <c r="K11" s="9" t="str">
        <f>"180,0"</f>
        <v>180,0</v>
      </c>
      <c r="L11" s="10" t="str">
        <f>"125,8200"</f>
        <v>125,8200</v>
      </c>
      <c r="M11" s="9" t="s">
        <v>27</v>
      </c>
    </row>
    <row r="12" spans="1:13">
      <c r="A12" s="12" t="s">
        <v>776</v>
      </c>
      <c r="B12" s="12" t="s">
        <v>777</v>
      </c>
      <c r="C12" s="12" t="s">
        <v>778</v>
      </c>
      <c r="D12" s="12" t="str">
        <f>"0,7086"</f>
        <v>0,7086</v>
      </c>
      <c r="E12" s="12" t="s">
        <v>32</v>
      </c>
      <c r="F12" s="12" t="s">
        <v>779</v>
      </c>
      <c r="G12" s="13" t="s">
        <v>321</v>
      </c>
      <c r="H12" s="13" t="s">
        <v>34</v>
      </c>
      <c r="I12" s="13" t="s">
        <v>780</v>
      </c>
      <c r="J12" s="14"/>
      <c r="K12" s="12" t="str">
        <f>"212,5"</f>
        <v>212,5</v>
      </c>
      <c r="L12" s="13" t="str">
        <f>"150,5881"</f>
        <v>150,5881</v>
      </c>
      <c r="M12" s="12" t="s">
        <v>27</v>
      </c>
    </row>
    <row r="13" spans="1:13">
      <c r="A13" s="12" t="s">
        <v>782</v>
      </c>
      <c r="B13" s="12" t="s">
        <v>783</v>
      </c>
      <c r="C13" s="12" t="s">
        <v>784</v>
      </c>
      <c r="D13" s="12" t="str">
        <f>"0,7149"</f>
        <v>0,7149</v>
      </c>
      <c r="E13" s="12" t="s">
        <v>32</v>
      </c>
      <c r="F13" s="12" t="s">
        <v>19</v>
      </c>
      <c r="G13" s="13" t="s">
        <v>25</v>
      </c>
      <c r="H13" s="13" t="s">
        <v>26</v>
      </c>
      <c r="I13" s="13" t="s">
        <v>37</v>
      </c>
      <c r="J13" s="14"/>
      <c r="K13" s="12" t="str">
        <f>"180,0"</f>
        <v>180,0</v>
      </c>
      <c r="L13" s="13" t="str">
        <f>"128,6730"</f>
        <v>128,6730</v>
      </c>
      <c r="M13" s="12" t="s">
        <v>27</v>
      </c>
    </row>
    <row r="14" spans="1:13">
      <c r="A14" s="12" t="s">
        <v>786</v>
      </c>
      <c r="B14" s="12" t="s">
        <v>787</v>
      </c>
      <c r="C14" s="12" t="s">
        <v>788</v>
      </c>
      <c r="D14" s="12" t="str">
        <f>"0,6927"</f>
        <v>0,6927</v>
      </c>
      <c r="E14" s="12" t="s">
        <v>32</v>
      </c>
      <c r="F14" s="12" t="s">
        <v>19</v>
      </c>
      <c r="G14" s="14" t="s">
        <v>26</v>
      </c>
      <c r="H14" s="14" t="s">
        <v>151</v>
      </c>
      <c r="I14" s="13" t="s">
        <v>151</v>
      </c>
      <c r="J14" s="14"/>
      <c r="K14" s="12" t="str">
        <f>"177,5"</f>
        <v>177,5</v>
      </c>
      <c r="L14" s="13" t="str">
        <f>"122,9454"</f>
        <v>122,9454</v>
      </c>
      <c r="M14" s="12" t="s">
        <v>27</v>
      </c>
    </row>
    <row r="15" spans="1:13">
      <c r="A15" s="15" t="s">
        <v>789</v>
      </c>
      <c r="B15" s="15" t="s">
        <v>497</v>
      </c>
      <c r="C15" s="15" t="s">
        <v>498</v>
      </c>
      <c r="D15" s="15" t="str">
        <f>"0,7012"</f>
        <v>0,7012</v>
      </c>
      <c r="E15" s="15" t="s">
        <v>32</v>
      </c>
      <c r="F15" s="15" t="s">
        <v>499</v>
      </c>
      <c r="G15" s="17" t="s">
        <v>147</v>
      </c>
      <c r="H15" s="16" t="s">
        <v>148</v>
      </c>
      <c r="I15" s="16" t="s">
        <v>148</v>
      </c>
      <c r="J15" s="16"/>
      <c r="K15" s="15" t="str">
        <f>"145,0"</f>
        <v>145,0</v>
      </c>
      <c r="L15" s="17" t="str">
        <f>"101,6668"</f>
        <v>101,6668</v>
      </c>
      <c r="M15" s="15" t="s">
        <v>27</v>
      </c>
    </row>
    <row r="17" spans="1:13" ht="15">
      <c r="A17" s="48" t="s">
        <v>28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3">
      <c r="A18" s="9" t="s">
        <v>501</v>
      </c>
      <c r="B18" s="9" t="s">
        <v>502</v>
      </c>
      <c r="C18" s="9" t="s">
        <v>503</v>
      </c>
      <c r="D18" s="9" t="str">
        <f>"0,6768"</f>
        <v>0,6768</v>
      </c>
      <c r="E18" s="9" t="s">
        <v>32</v>
      </c>
      <c r="F18" s="9" t="s">
        <v>19</v>
      </c>
      <c r="G18" s="10" t="s">
        <v>283</v>
      </c>
      <c r="H18" s="10" t="s">
        <v>173</v>
      </c>
      <c r="I18" s="10" t="s">
        <v>175</v>
      </c>
      <c r="J18" s="11"/>
      <c r="K18" s="9" t="str">
        <f>"110,0"</f>
        <v>110,0</v>
      </c>
      <c r="L18" s="10" t="str">
        <f>"74,4425"</f>
        <v>74,4425</v>
      </c>
      <c r="M18" s="9" t="s">
        <v>27</v>
      </c>
    </row>
    <row r="19" spans="1:13">
      <c r="A19" s="15" t="s">
        <v>791</v>
      </c>
      <c r="B19" s="15" t="s">
        <v>792</v>
      </c>
      <c r="C19" s="15" t="s">
        <v>793</v>
      </c>
      <c r="D19" s="15" t="str">
        <f>"0,6503"</f>
        <v>0,6503</v>
      </c>
      <c r="E19" s="15" t="s">
        <v>32</v>
      </c>
      <c r="F19" s="15" t="s">
        <v>82</v>
      </c>
      <c r="G19" s="17" t="s">
        <v>33</v>
      </c>
      <c r="H19" s="17" t="s">
        <v>70</v>
      </c>
      <c r="I19" s="17" t="s">
        <v>65</v>
      </c>
      <c r="J19" s="16"/>
      <c r="K19" s="15" t="str">
        <f>"230,0"</f>
        <v>230,0</v>
      </c>
      <c r="L19" s="17" t="str">
        <f>"149,5575"</f>
        <v>149,5575</v>
      </c>
      <c r="M19" s="15" t="s">
        <v>27</v>
      </c>
    </row>
    <row r="21" spans="1:13" ht="15">
      <c r="A21" s="48" t="s">
        <v>46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3">
      <c r="A22" s="9" t="s">
        <v>576</v>
      </c>
      <c r="B22" s="9" t="s">
        <v>577</v>
      </c>
      <c r="C22" s="9" t="s">
        <v>578</v>
      </c>
      <c r="D22" s="9" t="str">
        <f>"0,5905"</f>
        <v>0,5905</v>
      </c>
      <c r="E22" s="9" t="s">
        <v>32</v>
      </c>
      <c r="F22" s="9" t="s">
        <v>19</v>
      </c>
      <c r="G22" s="10" t="s">
        <v>53</v>
      </c>
      <c r="H22" s="10" t="s">
        <v>146</v>
      </c>
      <c r="I22" s="10" t="s">
        <v>794</v>
      </c>
      <c r="J22" s="11"/>
      <c r="K22" s="9" t="str">
        <f>"267,5"</f>
        <v>267,5</v>
      </c>
      <c r="L22" s="10" t="str">
        <f>"157,9587"</f>
        <v>157,9587</v>
      </c>
      <c r="M22" s="9" t="s">
        <v>27</v>
      </c>
    </row>
    <row r="23" spans="1:13">
      <c r="A23" s="12" t="s">
        <v>795</v>
      </c>
      <c r="B23" s="12" t="s">
        <v>397</v>
      </c>
      <c r="C23" s="12" t="s">
        <v>398</v>
      </c>
      <c r="D23" s="12" t="str">
        <f>"0,5911"</f>
        <v>0,5911</v>
      </c>
      <c r="E23" s="12" t="s">
        <v>32</v>
      </c>
      <c r="F23" s="12" t="s">
        <v>19</v>
      </c>
      <c r="G23" s="13" t="s">
        <v>37</v>
      </c>
      <c r="H23" s="13" t="s">
        <v>321</v>
      </c>
      <c r="I23" s="13" t="s">
        <v>780</v>
      </c>
      <c r="J23" s="14"/>
      <c r="K23" s="12" t="str">
        <f>"212,5"</f>
        <v>212,5</v>
      </c>
      <c r="L23" s="13" t="str">
        <f>"125,6087"</f>
        <v>125,6087</v>
      </c>
      <c r="M23" s="12" t="s">
        <v>27</v>
      </c>
    </row>
    <row r="24" spans="1:13">
      <c r="A24" s="12" t="s">
        <v>796</v>
      </c>
      <c r="B24" s="12" t="s">
        <v>590</v>
      </c>
      <c r="C24" s="12" t="s">
        <v>591</v>
      </c>
      <c r="D24" s="12" t="str">
        <f>"0,5825"</f>
        <v>0,5825</v>
      </c>
      <c r="E24" s="12" t="s">
        <v>32</v>
      </c>
      <c r="F24" s="12" t="s">
        <v>19</v>
      </c>
      <c r="G24" s="13" t="s">
        <v>38</v>
      </c>
      <c r="H24" s="13" t="s">
        <v>321</v>
      </c>
      <c r="I24" s="13" t="s">
        <v>34</v>
      </c>
      <c r="J24" s="14"/>
      <c r="K24" s="12" t="str">
        <f>"210,0"</f>
        <v>210,0</v>
      </c>
      <c r="L24" s="13" t="str">
        <f>"122,3355"</f>
        <v>122,3355</v>
      </c>
      <c r="M24" s="12" t="s">
        <v>27</v>
      </c>
    </row>
    <row r="25" spans="1:13">
      <c r="A25" s="15" t="s">
        <v>797</v>
      </c>
      <c r="B25" s="15" t="s">
        <v>598</v>
      </c>
      <c r="C25" s="15" t="s">
        <v>599</v>
      </c>
      <c r="D25" s="15" t="str">
        <f>"0,5914"</f>
        <v>0,5914</v>
      </c>
      <c r="E25" s="15" t="s">
        <v>32</v>
      </c>
      <c r="F25" s="15" t="s">
        <v>19</v>
      </c>
      <c r="G25" s="17" t="s">
        <v>37</v>
      </c>
      <c r="H25" s="17" t="s">
        <v>38</v>
      </c>
      <c r="I25" s="17" t="s">
        <v>321</v>
      </c>
      <c r="J25" s="16"/>
      <c r="K25" s="15" t="str">
        <f>"202,5"</f>
        <v>202,5</v>
      </c>
      <c r="L25" s="17" t="str">
        <f>"119,7585"</f>
        <v>119,7585</v>
      </c>
      <c r="M25" s="15" t="s">
        <v>27</v>
      </c>
    </row>
    <row r="27" spans="1:13" ht="15">
      <c r="A27" s="48" t="s">
        <v>71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3">
      <c r="A28" s="9" t="s">
        <v>799</v>
      </c>
      <c r="B28" s="9" t="s">
        <v>800</v>
      </c>
      <c r="C28" s="9" t="s">
        <v>801</v>
      </c>
      <c r="D28" s="9" t="str">
        <f>"0,5674"</f>
        <v>0,5674</v>
      </c>
      <c r="E28" s="9" t="s">
        <v>18</v>
      </c>
      <c r="F28" s="9" t="s">
        <v>19</v>
      </c>
      <c r="G28" s="10" t="s">
        <v>37</v>
      </c>
      <c r="H28" s="11" t="s">
        <v>802</v>
      </c>
      <c r="I28" s="11" t="s">
        <v>802</v>
      </c>
      <c r="J28" s="11"/>
      <c r="K28" s="9" t="str">
        <f>"180,0"</f>
        <v>180,0</v>
      </c>
      <c r="L28" s="10" t="str">
        <f>"102,1410"</f>
        <v>102,1410</v>
      </c>
      <c r="M28" s="9" t="s">
        <v>27</v>
      </c>
    </row>
    <row r="29" spans="1:13">
      <c r="A29" s="15" t="s">
        <v>804</v>
      </c>
      <c r="B29" s="15" t="s">
        <v>805</v>
      </c>
      <c r="C29" s="15" t="s">
        <v>806</v>
      </c>
      <c r="D29" s="15" t="str">
        <f>"0,5699"</f>
        <v>0,5699</v>
      </c>
      <c r="E29" s="15" t="s">
        <v>32</v>
      </c>
      <c r="F29" s="15" t="s">
        <v>19</v>
      </c>
      <c r="G29" s="17" t="s">
        <v>37</v>
      </c>
      <c r="H29" s="17" t="s">
        <v>33</v>
      </c>
      <c r="I29" s="17" t="s">
        <v>64</v>
      </c>
      <c r="J29" s="16"/>
      <c r="K29" s="15" t="str">
        <f>"220,0"</f>
        <v>220,0</v>
      </c>
      <c r="L29" s="17" t="str">
        <f>"125,3890"</f>
        <v>125,3890</v>
      </c>
      <c r="M29" s="15" t="s">
        <v>27</v>
      </c>
    </row>
    <row r="31" spans="1:13" ht="15">
      <c r="A31" s="48" t="s">
        <v>77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3">
      <c r="A32" s="9" t="s">
        <v>618</v>
      </c>
      <c r="B32" s="9" t="s">
        <v>619</v>
      </c>
      <c r="C32" s="9" t="s">
        <v>620</v>
      </c>
      <c r="D32" s="9" t="str">
        <f>"0,5545"</f>
        <v>0,5545</v>
      </c>
      <c r="E32" s="9" t="s">
        <v>32</v>
      </c>
      <c r="F32" s="9" t="s">
        <v>19</v>
      </c>
      <c r="G32" s="10" t="s">
        <v>64</v>
      </c>
      <c r="H32" s="10" t="s">
        <v>807</v>
      </c>
      <c r="I32" s="10" t="s">
        <v>808</v>
      </c>
      <c r="J32" s="11"/>
      <c r="K32" s="9" t="str">
        <f>"257,5"</f>
        <v>257,5</v>
      </c>
      <c r="L32" s="10" t="str">
        <f>"142,7837"</f>
        <v>142,7837</v>
      </c>
      <c r="M32" s="9" t="s">
        <v>27</v>
      </c>
    </row>
    <row r="33" spans="1:13">
      <c r="A33" s="15" t="s">
        <v>810</v>
      </c>
      <c r="B33" s="15" t="s">
        <v>811</v>
      </c>
      <c r="C33" s="15" t="s">
        <v>812</v>
      </c>
      <c r="D33" s="15" t="str">
        <f>"0,5502"</f>
        <v>0,5502</v>
      </c>
      <c r="E33" s="15" t="s">
        <v>32</v>
      </c>
      <c r="F33" s="15" t="s">
        <v>529</v>
      </c>
      <c r="G33" s="17" t="s">
        <v>53</v>
      </c>
      <c r="H33" s="17" t="s">
        <v>807</v>
      </c>
      <c r="I33" s="17" t="s">
        <v>54</v>
      </c>
      <c r="J33" s="16"/>
      <c r="K33" s="15" t="str">
        <f>"255,0"</f>
        <v>255,0</v>
      </c>
      <c r="L33" s="17" t="str">
        <f>"140,3137"</f>
        <v>140,3137</v>
      </c>
      <c r="M33" s="15" t="s">
        <v>27</v>
      </c>
    </row>
    <row r="35" spans="1:13" ht="15">
      <c r="E35" s="18" t="s">
        <v>86</v>
      </c>
    </row>
    <row r="36" spans="1:13" ht="15">
      <c r="E36" s="18" t="s">
        <v>87</v>
      </c>
    </row>
    <row r="37" spans="1:13" ht="15">
      <c r="E37" s="18" t="s">
        <v>88</v>
      </c>
    </row>
    <row r="38" spans="1:13" ht="15">
      <c r="E38" s="18" t="s">
        <v>89</v>
      </c>
    </row>
    <row r="39" spans="1:13" ht="15">
      <c r="E39" s="18" t="s">
        <v>89</v>
      </c>
    </row>
    <row r="40" spans="1:13" ht="15">
      <c r="E40" s="18" t="s">
        <v>90</v>
      </c>
    </row>
    <row r="41" spans="1:13" ht="15">
      <c r="E41" s="18"/>
    </row>
    <row r="43" spans="1:13" ht="18">
      <c r="A43" s="19" t="s">
        <v>91</v>
      </c>
      <c r="B43" s="19"/>
    </row>
    <row r="44" spans="1:13" ht="15">
      <c r="A44" s="20" t="s">
        <v>92</v>
      </c>
      <c r="B44" s="20"/>
    </row>
    <row r="45" spans="1:13" ht="14.25">
      <c r="A45" s="22"/>
      <c r="B45" s="23" t="s">
        <v>93</v>
      </c>
    </row>
    <row r="46" spans="1:13" ht="15">
      <c r="A46" s="24" t="s">
        <v>94</v>
      </c>
      <c r="B46" s="24" t="s">
        <v>95</v>
      </c>
      <c r="C46" s="24" t="s">
        <v>96</v>
      </c>
      <c r="D46" s="24" t="s">
        <v>97</v>
      </c>
      <c r="E46" s="24" t="s">
        <v>98</v>
      </c>
    </row>
    <row r="47" spans="1:13">
      <c r="A47" s="21" t="s">
        <v>762</v>
      </c>
      <c r="B47" s="4" t="s">
        <v>93</v>
      </c>
      <c r="C47" s="4" t="s">
        <v>344</v>
      </c>
      <c r="D47" s="4" t="s">
        <v>45</v>
      </c>
      <c r="E47" s="25" t="s">
        <v>813</v>
      </c>
    </row>
    <row r="48" spans="1:13">
      <c r="A48" s="21" t="s">
        <v>765</v>
      </c>
      <c r="B48" s="4" t="s">
        <v>93</v>
      </c>
      <c r="C48" s="4" t="s">
        <v>344</v>
      </c>
      <c r="D48" s="4" t="s">
        <v>173</v>
      </c>
      <c r="E48" s="25" t="s">
        <v>814</v>
      </c>
    </row>
    <row r="50" spans="1:5" ht="14.25">
      <c r="A50" s="22"/>
      <c r="B50" s="23" t="s">
        <v>990</v>
      </c>
    </row>
    <row r="51" spans="1:5" ht="15">
      <c r="A51" s="24" t="s">
        <v>94</v>
      </c>
      <c r="B51" s="24" t="s">
        <v>95</v>
      </c>
      <c r="C51" s="24" t="s">
        <v>96</v>
      </c>
      <c r="D51" s="24" t="s">
        <v>97</v>
      </c>
      <c r="E51" s="24" t="s">
        <v>98</v>
      </c>
    </row>
    <row r="52" spans="1:5">
      <c r="A52" s="21" t="s">
        <v>769</v>
      </c>
      <c r="B52" s="36" t="s">
        <v>985</v>
      </c>
      <c r="C52" s="4" t="s">
        <v>344</v>
      </c>
      <c r="D52" s="4" t="s">
        <v>168</v>
      </c>
      <c r="E52" s="25" t="s">
        <v>815</v>
      </c>
    </row>
    <row r="55" spans="1:5" ht="15">
      <c r="A55" s="20" t="s">
        <v>102</v>
      </c>
      <c r="B55" s="20"/>
    </row>
    <row r="56" spans="1:5" ht="14.25">
      <c r="A56" s="22"/>
      <c r="B56" s="23" t="s">
        <v>355</v>
      </c>
    </row>
    <row r="57" spans="1:5" ht="15">
      <c r="A57" s="24" t="s">
        <v>94</v>
      </c>
      <c r="B57" s="24" t="s">
        <v>95</v>
      </c>
      <c r="C57" s="24" t="s">
        <v>96</v>
      </c>
      <c r="D57" s="24" t="s">
        <v>97</v>
      </c>
      <c r="E57" s="24" t="s">
        <v>98</v>
      </c>
    </row>
    <row r="58" spans="1:5">
      <c r="A58" s="21" t="s">
        <v>798</v>
      </c>
      <c r="B58" s="4" t="s">
        <v>359</v>
      </c>
      <c r="C58" s="4" t="s">
        <v>111</v>
      </c>
      <c r="D58" s="4" t="s">
        <v>37</v>
      </c>
      <c r="E58" s="25" t="s">
        <v>816</v>
      </c>
    </row>
    <row r="59" spans="1:5">
      <c r="A59" s="21" t="s">
        <v>500</v>
      </c>
      <c r="B59" s="4" t="s">
        <v>637</v>
      </c>
      <c r="C59" s="4" t="s">
        <v>121</v>
      </c>
      <c r="D59" s="4" t="s">
        <v>175</v>
      </c>
      <c r="E59" s="25" t="s">
        <v>817</v>
      </c>
    </row>
    <row r="61" spans="1:5" ht="14.25">
      <c r="A61" s="22"/>
      <c r="B61" s="23" t="s">
        <v>103</v>
      </c>
    </row>
    <row r="62" spans="1:5" ht="15">
      <c r="A62" s="24" t="s">
        <v>94</v>
      </c>
      <c r="B62" s="24" t="s">
        <v>95</v>
      </c>
      <c r="C62" s="24" t="s">
        <v>96</v>
      </c>
      <c r="D62" s="24" t="s">
        <v>97</v>
      </c>
      <c r="E62" s="24" t="s">
        <v>98</v>
      </c>
    </row>
    <row r="63" spans="1:5">
      <c r="A63" s="21" t="s">
        <v>772</v>
      </c>
      <c r="B63" s="4" t="s">
        <v>104</v>
      </c>
      <c r="C63" s="4" t="s">
        <v>230</v>
      </c>
      <c r="D63" s="4" t="s">
        <v>37</v>
      </c>
      <c r="E63" s="25" t="s">
        <v>818</v>
      </c>
    </row>
    <row r="65" spans="1:5" ht="14.25">
      <c r="A65" s="22"/>
      <c r="B65" s="23" t="s">
        <v>93</v>
      </c>
    </row>
    <row r="66" spans="1:5" ht="15">
      <c r="A66" s="24" t="s">
        <v>94</v>
      </c>
      <c r="B66" s="24" t="s">
        <v>95</v>
      </c>
      <c r="C66" s="24" t="s">
        <v>96</v>
      </c>
      <c r="D66" s="24" t="s">
        <v>97</v>
      </c>
      <c r="E66" s="24" t="s">
        <v>98</v>
      </c>
    </row>
    <row r="67" spans="1:5">
      <c r="A67" s="21" t="s">
        <v>575</v>
      </c>
      <c r="B67" s="4" t="s">
        <v>93</v>
      </c>
      <c r="C67" s="4" t="s">
        <v>108</v>
      </c>
      <c r="D67" s="4" t="s">
        <v>794</v>
      </c>
      <c r="E67" s="25" t="s">
        <v>819</v>
      </c>
    </row>
    <row r="68" spans="1:5">
      <c r="A68" s="21" t="s">
        <v>775</v>
      </c>
      <c r="B68" s="4" t="s">
        <v>93</v>
      </c>
      <c r="C68" s="4" t="s">
        <v>230</v>
      </c>
      <c r="D68" s="4" t="s">
        <v>780</v>
      </c>
      <c r="E68" s="25" t="s">
        <v>820</v>
      </c>
    </row>
    <row r="69" spans="1:5">
      <c r="A69" s="21" t="s">
        <v>790</v>
      </c>
      <c r="B69" s="4" t="s">
        <v>93</v>
      </c>
      <c r="C69" s="4" t="s">
        <v>121</v>
      </c>
      <c r="D69" s="4" t="s">
        <v>65</v>
      </c>
      <c r="E69" s="25" t="s">
        <v>821</v>
      </c>
    </row>
    <row r="70" spans="1:5">
      <c r="A70" s="21" t="s">
        <v>617</v>
      </c>
      <c r="B70" s="4" t="s">
        <v>93</v>
      </c>
      <c r="C70" s="4" t="s">
        <v>118</v>
      </c>
      <c r="D70" s="4" t="s">
        <v>808</v>
      </c>
      <c r="E70" s="25" t="s">
        <v>822</v>
      </c>
    </row>
    <row r="71" spans="1:5">
      <c r="A71" s="21" t="s">
        <v>809</v>
      </c>
      <c r="B71" s="4" t="s">
        <v>93</v>
      </c>
      <c r="C71" s="4" t="s">
        <v>118</v>
      </c>
      <c r="D71" s="4" t="s">
        <v>54</v>
      </c>
      <c r="E71" s="25" t="s">
        <v>823</v>
      </c>
    </row>
    <row r="72" spans="1:5">
      <c r="A72" s="21" t="s">
        <v>781</v>
      </c>
      <c r="B72" s="4" t="s">
        <v>93</v>
      </c>
      <c r="C72" s="4" t="s">
        <v>230</v>
      </c>
      <c r="D72" s="4" t="s">
        <v>37</v>
      </c>
      <c r="E72" s="25" t="s">
        <v>824</v>
      </c>
    </row>
    <row r="73" spans="1:5">
      <c r="A73" s="21" t="s">
        <v>395</v>
      </c>
      <c r="B73" s="4" t="s">
        <v>93</v>
      </c>
      <c r="C73" s="4" t="s">
        <v>108</v>
      </c>
      <c r="D73" s="4" t="s">
        <v>780</v>
      </c>
      <c r="E73" s="25" t="s">
        <v>825</v>
      </c>
    </row>
    <row r="74" spans="1:5">
      <c r="A74" s="21" t="s">
        <v>803</v>
      </c>
      <c r="B74" s="4" t="s">
        <v>93</v>
      </c>
      <c r="C74" s="4" t="s">
        <v>111</v>
      </c>
      <c r="D74" s="4" t="s">
        <v>64</v>
      </c>
      <c r="E74" s="25" t="s">
        <v>826</v>
      </c>
    </row>
    <row r="75" spans="1:5">
      <c r="A75" s="21" t="s">
        <v>785</v>
      </c>
      <c r="B75" s="4" t="s">
        <v>93</v>
      </c>
      <c r="C75" s="4" t="s">
        <v>230</v>
      </c>
      <c r="D75" s="4" t="s">
        <v>151</v>
      </c>
      <c r="E75" s="25" t="s">
        <v>827</v>
      </c>
    </row>
    <row r="76" spans="1:5">
      <c r="A76" s="21" t="s">
        <v>588</v>
      </c>
      <c r="B76" s="4" t="s">
        <v>93</v>
      </c>
      <c r="C76" s="4" t="s">
        <v>108</v>
      </c>
      <c r="D76" s="4" t="s">
        <v>34</v>
      </c>
      <c r="E76" s="25" t="s">
        <v>828</v>
      </c>
    </row>
    <row r="77" spans="1:5">
      <c r="A77" s="21" t="s">
        <v>596</v>
      </c>
      <c r="B77" s="4" t="s">
        <v>93</v>
      </c>
      <c r="C77" s="4" t="s">
        <v>108</v>
      </c>
      <c r="D77" s="4" t="s">
        <v>321</v>
      </c>
      <c r="E77" s="25" t="s">
        <v>829</v>
      </c>
    </row>
    <row r="78" spans="1:5">
      <c r="A78" s="21" t="s">
        <v>495</v>
      </c>
      <c r="B78" s="4" t="s">
        <v>93</v>
      </c>
      <c r="C78" s="4" t="s">
        <v>230</v>
      </c>
      <c r="D78" s="4" t="s">
        <v>147</v>
      </c>
      <c r="E78" s="25" t="s">
        <v>830</v>
      </c>
    </row>
  </sheetData>
  <mergeCells count="17">
    <mergeCell ref="A21:L21"/>
    <mergeCell ref="A27:L27"/>
    <mergeCell ref="A31:L31"/>
    <mergeCell ref="K3:K4"/>
    <mergeCell ref="L3:L4"/>
    <mergeCell ref="M3:M4"/>
    <mergeCell ref="A5:L5"/>
    <mergeCell ref="A10:L10"/>
    <mergeCell ref="A17:L17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0"/>
  <sheetViews>
    <sheetView topLeftCell="A40" workbookViewId="0">
      <selection activeCell="B56" sqref="B56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17.285156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37" t="s">
        <v>982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.1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6</v>
      </c>
      <c r="C3" s="45" t="s">
        <v>7</v>
      </c>
      <c r="D3" s="47" t="s">
        <v>9</v>
      </c>
      <c r="E3" s="47" t="s">
        <v>4</v>
      </c>
      <c r="F3" s="47" t="s">
        <v>8</v>
      </c>
      <c r="G3" s="47" t="s">
        <v>12</v>
      </c>
      <c r="H3" s="47"/>
      <c r="I3" s="47"/>
      <c r="J3" s="47"/>
      <c r="K3" s="47" t="s">
        <v>244</v>
      </c>
      <c r="L3" s="47" t="s">
        <v>3</v>
      </c>
      <c r="M3" s="49" t="s">
        <v>2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5">
        <v>1</v>
      </c>
      <c r="H4" s="5">
        <v>2</v>
      </c>
      <c r="I4" s="5">
        <v>3</v>
      </c>
      <c r="J4" s="5" t="s">
        <v>5</v>
      </c>
      <c r="K4" s="46"/>
      <c r="L4" s="46"/>
      <c r="M4" s="50"/>
    </row>
    <row r="5" spans="1:13" ht="15">
      <c r="A5" s="51" t="s">
        <v>710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>
      <c r="A6" s="6" t="s">
        <v>712</v>
      </c>
      <c r="B6" s="6" t="s">
        <v>713</v>
      </c>
      <c r="C6" s="6" t="s">
        <v>714</v>
      </c>
      <c r="D6" s="6" t="str">
        <f>"1,2235"</f>
        <v>1,2235</v>
      </c>
      <c r="E6" s="6" t="s">
        <v>32</v>
      </c>
      <c r="F6" s="6" t="s">
        <v>715</v>
      </c>
      <c r="G6" s="8" t="s">
        <v>45</v>
      </c>
      <c r="H6" s="8" t="s">
        <v>36</v>
      </c>
      <c r="I6" s="7" t="s">
        <v>20</v>
      </c>
      <c r="J6" s="7"/>
      <c r="K6" s="6" t="str">
        <f>"125,0"</f>
        <v>125,0</v>
      </c>
      <c r="L6" s="8" t="str">
        <f>"152,9375"</f>
        <v>152,9375</v>
      </c>
      <c r="M6" s="6" t="s">
        <v>27</v>
      </c>
    </row>
    <row r="8" spans="1:13" ht="15">
      <c r="A8" s="48" t="s">
        <v>278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>
      <c r="A9" s="6" t="s">
        <v>717</v>
      </c>
      <c r="B9" s="6" t="s">
        <v>718</v>
      </c>
      <c r="C9" s="6" t="s">
        <v>719</v>
      </c>
      <c r="D9" s="6" t="str">
        <f>"1,0380"</f>
        <v>1,0380</v>
      </c>
      <c r="E9" s="6" t="s">
        <v>32</v>
      </c>
      <c r="F9" s="6" t="s">
        <v>165</v>
      </c>
      <c r="G9" s="8" t="s">
        <v>22</v>
      </c>
      <c r="H9" s="8" t="s">
        <v>23</v>
      </c>
      <c r="I9" s="8" t="s">
        <v>173</v>
      </c>
      <c r="J9" s="7"/>
      <c r="K9" s="6" t="str">
        <f>"100,0"</f>
        <v>100,0</v>
      </c>
      <c r="L9" s="8" t="str">
        <f>"103,8000"</f>
        <v>103,8000</v>
      </c>
      <c r="M9" s="6" t="s">
        <v>27</v>
      </c>
    </row>
    <row r="11" spans="1:13" ht="15">
      <c r="A11" s="48" t="s">
        <v>13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>
      <c r="A12" s="6" t="s">
        <v>721</v>
      </c>
      <c r="B12" s="6" t="s">
        <v>722</v>
      </c>
      <c r="C12" s="6" t="s">
        <v>723</v>
      </c>
      <c r="D12" s="6" t="str">
        <f>"0,9683"</f>
        <v>0,9683</v>
      </c>
      <c r="E12" s="6" t="s">
        <v>32</v>
      </c>
      <c r="F12" s="6" t="s">
        <v>165</v>
      </c>
      <c r="G12" s="8" t="s">
        <v>23</v>
      </c>
      <c r="H12" s="8" t="s">
        <v>173</v>
      </c>
      <c r="I12" s="8" t="s">
        <v>175</v>
      </c>
      <c r="J12" s="7"/>
      <c r="K12" s="6" t="str">
        <f>"110,0"</f>
        <v>110,0</v>
      </c>
      <c r="L12" s="8" t="str">
        <f>"106,5130"</f>
        <v>106,5130</v>
      </c>
      <c r="M12" s="6" t="s">
        <v>27</v>
      </c>
    </row>
    <row r="14" spans="1:13" ht="15">
      <c r="A14" s="48" t="s">
        <v>28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3">
      <c r="A15" s="9" t="s">
        <v>725</v>
      </c>
      <c r="B15" s="9" t="s">
        <v>726</v>
      </c>
      <c r="C15" s="9" t="s">
        <v>727</v>
      </c>
      <c r="D15" s="9" t="str">
        <f>"0,6497"</f>
        <v>0,6497</v>
      </c>
      <c r="E15" s="9" t="s">
        <v>51</v>
      </c>
      <c r="F15" s="9" t="s">
        <v>19</v>
      </c>
      <c r="G15" s="10" t="s">
        <v>345</v>
      </c>
      <c r="H15" s="10" t="s">
        <v>728</v>
      </c>
      <c r="I15" s="10" t="s">
        <v>729</v>
      </c>
      <c r="J15" s="11"/>
      <c r="K15" s="9" t="str">
        <f>"302,5"</f>
        <v>302,5</v>
      </c>
      <c r="L15" s="10" t="str">
        <f>"196,5494"</f>
        <v>196,5494</v>
      </c>
      <c r="M15" s="9" t="s">
        <v>27</v>
      </c>
    </row>
    <row r="16" spans="1:13">
      <c r="A16" s="15" t="s">
        <v>731</v>
      </c>
      <c r="B16" s="15" t="s">
        <v>732</v>
      </c>
      <c r="C16" s="15" t="s">
        <v>733</v>
      </c>
      <c r="D16" s="15" t="str">
        <f>"0,6550"</f>
        <v>0,6550</v>
      </c>
      <c r="E16" s="15" t="s">
        <v>32</v>
      </c>
      <c r="F16" s="15" t="s">
        <v>19</v>
      </c>
      <c r="G16" s="17" t="s">
        <v>44</v>
      </c>
      <c r="H16" s="17" t="s">
        <v>25</v>
      </c>
      <c r="I16" s="17" t="s">
        <v>26</v>
      </c>
      <c r="J16" s="16"/>
      <c r="K16" s="15" t="str">
        <f>"170,0"</f>
        <v>170,0</v>
      </c>
      <c r="L16" s="17" t="str">
        <f>"111,3585"</f>
        <v>111,3585</v>
      </c>
      <c r="M16" s="15" t="s">
        <v>27</v>
      </c>
    </row>
    <row r="18" spans="1:13" ht="15">
      <c r="A18" s="48" t="s">
        <v>39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3">
      <c r="A19" s="9" t="s">
        <v>735</v>
      </c>
      <c r="B19" s="35" t="s">
        <v>983</v>
      </c>
      <c r="C19" s="9" t="s">
        <v>736</v>
      </c>
      <c r="D19" s="9" t="str">
        <f>"0,6184"</f>
        <v>0,6184</v>
      </c>
      <c r="E19" s="9" t="s">
        <v>32</v>
      </c>
      <c r="F19" s="9" t="s">
        <v>19</v>
      </c>
      <c r="G19" s="10" t="s">
        <v>37</v>
      </c>
      <c r="H19" s="10" t="s">
        <v>64</v>
      </c>
      <c r="I19" s="11"/>
      <c r="J19" s="11"/>
      <c r="K19" s="9" t="str">
        <f>"220,0"</f>
        <v>220,0</v>
      </c>
      <c r="L19" s="10" t="str">
        <f>"140,2768"</f>
        <v>140,2768</v>
      </c>
      <c r="M19" s="9" t="s">
        <v>27</v>
      </c>
    </row>
    <row r="20" spans="1:13">
      <c r="A20" s="12" t="s">
        <v>193</v>
      </c>
      <c r="B20" s="34" t="s">
        <v>962</v>
      </c>
      <c r="C20" s="12" t="s">
        <v>194</v>
      </c>
      <c r="D20" s="12" t="str">
        <f>"0,6222"</f>
        <v>0,6222</v>
      </c>
      <c r="E20" s="12" t="s">
        <v>32</v>
      </c>
      <c r="F20" s="12" t="s">
        <v>19</v>
      </c>
      <c r="G20" s="13" t="s">
        <v>38</v>
      </c>
      <c r="H20" s="13" t="s">
        <v>70</v>
      </c>
      <c r="I20" s="13" t="s">
        <v>65</v>
      </c>
      <c r="J20" s="14"/>
      <c r="K20" s="12" t="str">
        <f>"230,0"</f>
        <v>230,0</v>
      </c>
      <c r="L20" s="13" t="str">
        <f>"156,9747"</f>
        <v>156,9747</v>
      </c>
      <c r="M20" s="12" t="s">
        <v>27</v>
      </c>
    </row>
    <row r="21" spans="1:13">
      <c r="A21" s="15" t="s">
        <v>197</v>
      </c>
      <c r="B21" s="32" t="s">
        <v>963</v>
      </c>
      <c r="C21" s="15" t="s">
        <v>198</v>
      </c>
      <c r="D21" s="15" t="str">
        <f>"0,6188"</f>
        <v>0,6188</v>
      </c>
      <c r="E21" s="15" t="s">
        <v>32</v>
      </c>
      <c r="F21" s="15" t="s">
        <v>19</v>
      </c>
      <c r="G21" s="17" t="s">
        <v>33</v>
      </c>
      <c r="H21" s="17" t="s">
        <v>70</v>
      </c>
      <c r="I21" s="16" t="s">
        <v>76</v>
      </c>
      <c r="J21" s="16"/>
      <c r="K21" s="15" t="str">
        <f>"215,0"</f>
        <v>215,0</v>
      </c>
      <c r="L21" s="17" t="str">
        <f>"228,5846"</f>
        <v>228,5846</v>
      </c>
      <c r="M21" s="15" t="s">
        <v>27</v>
      </c>
    </row>
    <row r="23" spans="1:13" ht="15">
      <c r="A23" s="48" t="s">
        <v>46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3">
      <c r="A24" s="9" t="s">
        <v>738</v>
      </c>
      <c r="B24" s="9" t="s">
        <v>739</v>
      </c>
      <c r="C24" s="9" t="s">
        <v>740</v>
      </c>
      <c r="D24" s="9" t="str">
        <f>"0,5993"</f>
        <v>0,5993</v>
      </c>
      <c r="E24" s="9" t="s">
        <v>32</v>
      </c>
      <c r="F24" s="9" t="s">
        <v>19</v>
      </c>
      <c r="G24" s="10" t="s">
        <v>55</v>
      </c>
      <c r="H24" s="10" t="s">
        <v>741</v>
      </c>
      <c r="I24" s="11" t="s">
        <v>59</v>
      </c>
      <c r="J24" s="11"/>
      <c r="K24" s="9" t="str">
        <f>"280,0"</f>
        <v>280,0</v>
      </c>
      <c r="L24" s="10" t="str">
        <f>"167,8040"</f>
        <v>167,8040</v>
      </c>
      <c r="M24" s="9" t="s">
        <v>27</v>
      </c>
    </row>
    <row r="25" spans="1:13">
      <c r="A25" s="15" t="s">
        <v>743</v>
      </c>
      <c r="B25" s="15" t="s">
        <v>744</v>
      </c>
      <c r="C25" s="15" t="s">
        <v>50</v>
      </c>
      <c r="D25" s="15" t="str">
        <f>"0,5871"</f>
        <v>0,5871</v>
      </c>
      <c r="E25" s="15" t="s">
        <v>32</v>
      </c>
      <c r="F25" s="15" t="s">
        <v>19</v>
      </c>
      <c r="G25" s="16" t="s">
        <v>64</v>
      </c>
      <c r="H25" s="17" t="s">
        <v>53</v>
      </c>
      <c r="I25" s="16" t="s">
        <v>258</v>
      </c>
      <c r="J25" s="16"/>
      <c r="K25" s="15" t="str">
        <f>"240,0"</f>
        <v>240,0</v>
      </c>
      <c r="L25" s="17" t="str">
        <f>"140,9160"</f>
        <v>140,9160</v>
      </c>
      <c r="M25" s="15" t="s">
        <v>27</v>
      </c>
    </row>
    <row r="27" spans="1:13" ht="15">
      <c r="A27" s="48" t="s">
        <v>71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3">
      <c r="A28" s="6" t="s">
        <v>746</v>
      </c>
      <c r="B28" s="6" t="s">
        <v>308</v>
      </c>
      <c r="C28" s="6" t="s">
        <v>747</v>
      </c>
      <c r="D28" s="6" t="str">
        <f>"0,5753"</f>
        <v>0,5753</v>
      </c>
      <c r="E28" s="6" t="s">
        <v>51</v>
      </c>
      <c r="F28" s="6" t="s">
        <v>19</v>
      </c>
      <c r="G28" s="8" t="s">
        <v>728</v>
      </c>
      <c r="H28" s="8" t="s">
        <v>748</v>
      </c>
      <c r="I28" s="7" t="s">
        <v>749</v>
      </c>
      <c r="J28" s="7"/>
      <c r="K28" s="6" t="str">
        <f>"312,5"</f>
        <v>312,5</v>
      </c>
      <c r="L28" s="8" t="str">
        <f>"179,7656"</f>
        <v>179,7656</v>
      </c>
      <c r="M28" s="6" t="s">
        <v>27</v>
      </c>
    </row>
    <row r="30" spans="1:13" ht="15">
      <c r="E30" s="18" t="s">
        <v>86</v>
      </c>
    </row>
    <row r="31" spans="1:13" ht="15">
      <c r="E31" s="18" t="s">
        <v>87</v>
      </c>
    </row>
    <row r="32" spans="1:13" ht="15">
      <c r="E32" s="18" t="s">
        <v>88</v>
      </c>
    </row>
    <row r="33" spans="1:5" ht="15">
      <c r="E33" s="18" t="s">
        <v>89</v>
      </c>
    </row>
    <row r="34" spans="1:5" ht="15">
      <c r="E34" s="18" t="s">
        <v>89</v>
      </c>
    </row>
    <row r="35" spans="1:5" ht="15">
      <c r="E35" s="18" t="s">
        <v>90</v>
      </c>
    </row>
    <row r="36" spans="1:5" ht="15">
      <c r="E36" s="18"/>
    </row>
    <row r="38" spans="1:5" ht="18">
      <c r="A38" s="19" t="s">
        <v>91</v>
      </c>
      <c r="B38" s="19"/>
    </row>
    <row r="39" spans="1:5" ht="15">
      <c r="A39" s="20" t="s">
        <v>92</v>
      </c>
      <c r="B39" s="20"/>
    </row>
    <row r="40" spans="1:5" ht="14.25">
      <c r="A40" s="22"/>
      <c r="B40" s="23" t="s">
        <v>93</v>
      </c>
    </row>
    <row r="41" spans="1:5" ht="15">
      <c r="A41" s="24" t="s">
        <v>94</v>
      </c>
      <c r="B41" s="24" t="s">
        <v>95</v>
      </c>
      <c r="C41" s="24" t="s">
        <v>96</v>
      </c>
      <c r="D41" s="24" t="s">
        <v>97</v>
      </c>
      <c r="E41" s="24" t="s">
        <v>98</v>
      </c>
    </row>
    <row r="42" spans="1:5">
      <c r="A42" s="21" t="s">
        <v>711</v>
      </c>
      <c r="B42" s="4" t="s">
        <v>93</v>
      </c>
      <c r="C42" s="4" t="s">
        <v>750</v>
      </c>
      <c r="D42" s="4" t="s">
        <v>36</v>
      </c>
      <c r="E42" s="25" t="s">
        <v>751</v>
      </c>
    </row>
    <row r="43" spans="1:5">
      <c r="A43" s="21" t="s">
        <v>720</v>
      </c>
      <c r="B43" s="4" t="s">
        <v>93</v>
      </c>
      <c r="C43" s="4" t="s">
        <v>99</v>
      </c>
      <c r="D43" s="4" t="s">
        <v>175</v>
      </c>
      <c r="E43" s="25" t="s">
        <v>752</v>
      </c>
    </row>
    <row r="44" spans="1:5">
      <c r="A44" s="21" t="s">
        <v>716</v>
      </c>
      <c r="B44" s="4" t="s">
        <v>93</v>
      </c>
      <c r="C44" s="4" t="s">
        <v>344</v>
      </c>
      <c r="D44" s="4" t="s">
        <v>173</v>
      </c>
      <c r="E44" s="25" t="s">
        <v>753</v>
      </c>
    </row>
    <row r="47" spans="1:5" ht="15">
      <c r="A47" s="20" t="s">
        <v>102</v>
      </c>
      <c r="B47" s="20"/>
    </row>
    <row r="48" spans="1:5" ht="14.25">
      <c r="A48" s="22"/>
      <c r="B48" s="23" t="s">
        <v>93</v>
      </c>
    </row>
    <row r="49" spans="1:5" ht="15">
      <c r="A49" s="24" t="s">
        <v>94</v>
      </c>
      <c r="B49" s="24" t="s">
        <v>95</v>
      </c>
      <c r="C49" s="24" t="s">
        <v>96</v>
      </c>
      <c r="D49" s="24" t="s">
        <v>97</v>
      </c>
      <c r="E49" s="24" t="s">
        <v>98</v>
      </c>
    </row>
    <row r="50" spans="1:5">
      <c r="A50" s="21" t="s">
        <v>724</v>
      </c>
      <c r="B50" s="4" t="s">
        <v>93</v>
      </c>
      <c r="C50" s="4" t="s">
        <v>121</v>
      </c>
      <c r="D50" s="4" t="s">
        <v>729</v>
      </c>
      <c r="E50" s="25" t="s">
        <v>754</v>
      </c>
    </row>
    <row r="51" spans="1:5">
      <c r="A51" s="21" t="s">
        <v>745</v>
      </c>
      <c r="B51" s="4" t="s">
        <v>93</v>
      </c>
      <c r="C51" s="4" t="s">
        <v>111</v>
      </c>
      <c r="D51" s="4" t="s">
        <v>748</v>
      </c>
      <c r="E51" s="25" t="s">
        <v>755</v>
      </c>
    </row>
    <row r="52" spans="1:5">
      <c r="A52" s="21" t="s">
        <v>737</v>
      </c>
      <c r="B52" s="4" t="s">
        <v>93</v>
      </c>
      <c r="C52" s="4" t="s">
        <v>108</v>
      </c>
      <c r="D52" s="4" t="s">
        <v>741</v>
      </c>
      <c r="E52" s="25" t="s">
        <v>756</v>
      </c>
    </row>
    <row r="53" spans="1:5">
      <c r="A53" s="21" t="s">
        <v>742</v>
      </c>
      <c r="B53" s="4" t="s">
        <v>93</v>
      </c>
      <c r="C53" s="4" t="s">
        <v>108</v>
      </c>
      <c r="D53" s="4" t="s">
        <v>53</v>
      </c>
      <c r="E53" s="25" t="s">
        <v>757</v>
      </c>
    </row>
    <row r="54" spans="1:5">
      <c r="A54" s="21" t="s">
        <v>730</v>
      </c>
      <c r="B54" s="4" t="s">
        <v>93</v>
      </c>
      <c r="C54" s="4" t="s">
        <v>121</v>
      </c>
      <c r="D54" s="4" t="s">
        <v>26</v>
      </c>
      <c r="E54" s="25" t="s">
        <v>758</v>
      </c>
    </row>
    <row r="56" spans="1:5" ht="14.25">
      <c r="A56" s="22"/>
      <c r="B56" s="23" t="s">
        <v>1003</v>
      </c>
    </row>
    <row r="57" spans="1:5" ht="15">
      <c r="A57" s="24" t="s">
        <v>94</v>
      </c>
      <c r="B57" s="24" t="s">
        <v>95</v>
      </c>
      <c r="C57" s="24" t="s">
        <v>96</v>
      </c>
      <c r="D57" s="24" t="s">
        <v>97</v>
      </c>
      <c r="E57" s="24" t="s">
        <v>98</v>
      </c>
    </row>
    <row r="58" spans="1:5">
      <c r="A58" s="21" t="s">
        <v>196</v>
      </c>
      <c r="B58" s="36" t="s">
        <v>984</v>
      </c>
      <c r="C58" s="4" t="s">
        <v>105</v>
      </c>
      <c r="D58" s="4" t="s">
        <v>70</v>
      </c>
      <c r="E58" s="25" t="s">
        <v>759</v>
      </c>
    </row>
    <row r="59" spans="1:5">
      <c r="A59" s="21" t="s">
        <v>192</v>
      </c>
      <c r="B59" s="36" t="s">
        <v>985</v>
      </c>
      <c r="C59" s="4" t="s">
        <v>105</v>
      </c>
      <c r="D59" s="4" t="s">
        <v>65</v>
      </c>
      <c r="E59" s="25" t="s">
        <v>760</v>
      </c>
    </row>
    <row r="60" spans="1:5">
      <c r="A60" s="21" t="s">
        <v>734</v>
      </c>
      <c r="B60" s="36" t="s">
        <v>986</v>
      </c>
      <c r="C60" s="4" t="s">
        <v>105</v>
      </c>
      <c r="D60" s="4" t="s">
        <v>64</v>
      </c>
      <c r="E60" s="25" t="s">
        <v>761</v>
      </c>
    </row>
  </sheetData>
  <mergeCells count="18">
    <mergeCell ref="A14:L14"/>
    <mergeCell ref="A18:L18"/>
    <mergeCell ref="A23:L23"/>
    <mergeCell ref="A27:L27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sqref="A1:M2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17.285156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37" t="s">
        <v>987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.1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6</v>
      </c>
      <c r="C3" s="45" t="s">
        <v>7</v>
      </c>
      <c r="D3" s="47" t="s">
        <v>9</v>
      </c>
      <c r="E3" s="47" t="s">
        <v>4</v>
      </c>
      <c r="F3" s="47" t="s">
        <v>8</v>
      </c>
      <c r="G3" s="47" t="s">
        <v>11</v>
      </c>
      <c r="H3" s="47"/>
      <c r="I3" s="47"/>
      <c r="J3" s="47"/>
      <c r="K3" s="47" t="s">
        <v>244</v>
      </c>
      <c r="L3" s="47" t="s">
        <v>3</v>
      </c>
      <c r="M3" s="49" t="s">
        <v>2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5">
        <v>1</v>
      </c>
      <c r="H4" s="5">
        <v>2</v>
      </c>
      <c r="I4" s="5">
        <v>3</v>
      </c>
      <c r="J4" s="5" t="s">
        <v>5</v>
      </c>
      <c r="K4" s="46"/>
      <c r="L4" s="46"/>
      <c r="M4" s="50"/>
    </row>
    <row r="5" spans="1:13" ht="15">
      <c r="A5" s="51" t="s">
        <v>46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>
      <c r="A6" s="6" t="s">
        <v>705</v>
      </c>
      <c r="B6" s="6" t="s">
        <v>706</v>
      </c>
      <c r="C6" s="6" t="s">
        <v>707</v>
      </c>
      <c r="D6" s="6" t="str">
        <f>"0,5840"</f>
        <v>0,5840</v>
      </c>
      <c r="E6" s="6" t="s">
        <v>32</v>
      </c>
      <c r="F6" s="6" t="s">
        <v>19</v>
      </c>
      <c r="G6" s="8" t="s">
        <v>53</v>
      </c>
      <c r="H6" s="8" t="s">
        <v>708</v>
      </c>
      <c r="I6" s="8" t="s">
        <v>146</v>
      </c>
      <c r="J6" s="7"/>
      <c r="K6" s="6" t="str">
        <f>"262,5"</f>
        <v>262,5</v>
      </c>
      <c r="L6" s="8" t="str">
        <f>"153,3131"</f>
        <v>153,3131</v>
      </c>
      <c r="M6" s="6" t="s">
        <v>27</v>
      </c>
    </row>
    <row r="8" spans="1:13" ht="15">
      <c r="E8" s="18" t="s">
        <v>86</v>
      </c>
    </row>
    <row r="9" spans="1:13" ht="15">
      <c r="E9" s="18" t="s">
        <v>87</v>
      </c>
    </row>
    <row r="10" spans="1:13" ht="15">
      <c r="E10" s="18" t="s">
        <v>88</v>
      </c>
    </row>
    <row r="11" spans="1:13" ht="15">
      <c r="E11" s="18" t="s">
        <v>89</v>
      </c>
    </row>
    <row r="12" spans="1:13" ht="15">
      <c r="E12" s="18" t="s">
        <v>89</v>
      </c>
    </row>
    <row r="13" spans="1:13" ht="15">
      <c r="E13" s="18" t="s">
        <v>90</v>
      </c>
    </row>
    <row r="14" spans="1:13" ht="15">
      <c r="E14" s="18"/>
    </row>
    <row r="16" spans="1:13" ht="18">
      <c r="A16" s="19" t="s">
        <v>91</v>
      </c>
      <c r="B16" s="19"/>
    </row>
    <row r="17" spans="1:5" ht="15">
      <c r="A17" s="20" t="s">
        <v>102</v>
      </c>
      <c r="B17" s="20"/>
    </row>
    <row r="18" spans="1:5" ht="14.25">
      <c r="A18" s="22"/>
      <c r="B18" s="23" t="s">
        <v>93</v>
      </c>
    </row>
    <row r="19" spans="1:5" ht="15">
      <c r="A19" s="24" t="s">
        <v>94</v>
      </c>
      <c r="B19" s="24" t="s">
        <v>95</v>
      </c>
      <c r="C19" s="24" t="s">
        <v>96</v>
      </c>
      <c r="D19" s="24" t="s">
        <v>97</v>
      </c>
      <c r="E19" s="24" t="s">
        <v>98</v>
      </c>
    </row>
    <row r="20" spans="1:5">
      <c r="A20" s="21" t="s">
        <v>704</v>
      </c>
      <c r="B20" s="4" t="s">
        <v>93</v>
      </c>
      <c r="C20" s="4" t="s">
        <v>108</v>
      </c>
      <c r="D20" s="4" t="s">
        <v>146</v>
      </c>
      <c r="E20" s="25" t="s">
        <v>709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topLeftCell="A26" workbookViewId="0">
      <selection activeCell="F38" sqref="F38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8.42578125" style="4" bestFit="1" customWidth="1"/>
    <col min="5" max="5" width="23.42578125" style="4" bestFit="1" customWidth="1"/>
    <col min="6" max="6" width="24.285156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37" t="s">
        <v>988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.1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6</v>
      </c>
      <c r="C3" s="45" t="s">
        <v>7</v>
      </c>
      <c r="D3" s="47" t="s">
        <v>9</v>
      </c>
      <c r="E3" s="47" t="s">
        <v>4</v>
      </c>
      <c r="F3" s="47" t="s">
        <v>8</v>
      </c>
      <c r="G3" s="47" t="s">
        <v>11</v>
      </c>
      <c r="H3" s="47"/>
      <c r="I3" s="47"/>
      <c r="J3" s="47"/>
      <c r="K3" s="47" t="s">
        <v>244</v>
      </c>
      <c r="L3" s="47" t="s">
        <v>3</v>
      </c>
      <c r="M3" s="49" t="s">
        <v>2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5">
        <v>1</v>
      </c>
      <c r="H4" s="5">
        <v>2</v>
      </c>
      <c r="I4" s="5">
        <v>3</v>
      </c>
      <c r="J4" s="5" t="s">
        <v>5</v>
      </c>
      <c r="K4" s="46"/>
      <c r="L4" s="46"/>
      <c r="M4" s="50"/>
    </row>
    <row r="5" spans="1:13" ht="15">
      <c r="A5" s="51" t="s">
        <v>278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>
      <c r="A6" s="6" t="s">
        <v>677</v>
      </c>
      <c r="B6" s="6" t="s">
        <v>678</v>
      </c>
      <c r="C6" s="6" t="s">
        <v>679</v>
      </c>
      <c r="D6" s="6" t="str">
        <f>"0,9984"</f>
        <v>0,9984</v>
      </c>
      <c r="E6" s="6" t="s">
        <v>32</v>
      </c>
      <c r="F6" s="6" t="s">
        <v>82</v>
      </c>
      <c r="G6" s="8" t="s">
        <v>168</v>
      </c>
      <c r="H6" s="8" t="s">
        <v>22</v>
      </c>
      <c r="I6" s="7" t="s">
        <v>135</v>
      </c>
      <c r="J6" s="7"/>
      <c r="K6" s="6" t="str">
        <f>"80,0"</f>
        <v>80,0</v>
      </c>
      <c r="L6" s="8" t="str">
        <f>"79,8680"</f>
        <v>79,8680</v>
      </c>
      <c r="M6" s="6" t="s">
        <v>27</v>
      </c>
    </row>
    <row r="8" spans="1:13" ht="15">
      <c r="A8" s="48" t="s">
        <v>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>
      <c r="A9" s="6" t="s">
        <v>681</v>
      </c>
      <c r="B9" s="6" t="s">
        <v>682</v>
      </c>
      <c r="C9" s="6" t="s">
        <v>683</v>
      </c>
      <c r="D9" s="6" t="str">
        <f>"0,7955"</f>
        <v>0,7955</v>
      </c>
      <c r="E9" s="6" t="s">
        <v>18</v>
      </c>
      <c r="F9" s="6" t="s">
        <v>19</v>
      </c>
      <c r="G9" s="8" t="s">
        <v>173</v>
      </c>
      <c r="H9" s="8" t="s">
        <v>174</v>
      </c>
      <c r="I9" s="7" t="s">
        <v>175</v>
      </c>
      <c r="J9" s="7"/>
      <c r="K9" s="6" t="str">
        <f>"105,0"</f>
        <v>105,0</v>
      </c>
      <c r="L9" s="8" t="str">
        <f>"83,5327"</f>
        <v>83,5327</v>
      </c>
      <c r="M9" s="6" t="s">
        <v>27</v>
      </c>
    </row>
    <row r="11" spans="1:13" ht="15">
      <c r="A11" s="48" t="s">
        <v>46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>
      <c r="A12" s="6" t="s">
        <v>684</v>
      </c>
      <c r="B12" s="6" t="s">
        <v>685</v>
      </c>
      <c r="C12" s="6" t="s">
        <v>686</v>
      </c>
      <c r="D12" s="6" t="str">
        <f>"0,5831"</f>
        <v>0,5831</v>
      </c>
      <c r="E12" s="6" t="s">
        <v>32</v>
      </c>
      <c r="F12" s="6" t="s">
        <v>82</v>
      </c>
      <c r="G12" s="7" t="s">
        <v>353</v>
      </c>
      <c r="H12" s="7" t="s">
        <v>353</v>
      </c>
      <c r="I12" s="7" t="s">
        <v>353</v>
      </c>
      <c r="J12" s="7"/>
      <c r="K12" s="6" t="str">
        <f>"0.00"</f>
        <v>0.00</v>
      </c>
      <c r="L12" s="8" t="str">
        <f>"0,0000"</f>
        <v>0,0000</v>
      </c>
      <c r="M12" s="6" t="s">
        <v>27</v>
      </c>
    </row>
    <row r="14" spans="1:13" ht="15">
      <c r="A14" s="48" t="s">
        <v>71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3">
      <c r="A15" s="9" t="s">
        <v>687</v>
      </c>
      <c r="B15" s="9" t="s">
        <v>611</v>
      </c>
      <c r="C15" s="9" t="s">
        <v>612</v>
      </c>
      <c r="D15" s="9" t="str">
        <f>"0,5650"</f>
        <v>0,5650</v>
      </c>
      <c r="E15" s="9" t="s">
        <v>18</v>
      </c>
      <c r="F15" s="9" t="s">
        <v>613</v>
      </c>
      <c r="G15" s="10" t="s">
        <v>173</v>
      </c>
      <c r="H15" s="11"/>
      <c r="I15" s="11"/>
      <c r="J15" s="11"/>
      <c r="K15" s="9" t="str">
        <f>"100,0"</f>
        <v>100,0</v>
      </c>
      <c r="L15" s="10" t="str">
        <f>"56,5000"</f>
        <v>56,5000</v>
      </c>
      <c r="M15" s="9" t="s">
        <v>27</v>
      </c>
    </row>
    <row r="16" spans="1:13">
      <c r="A16" s="15" t="s">
        <v>689</v>
      </c>
      <c r="B16" s="32" t="s">
        <v>989</v>
      </c>
      <c r="C16" s="15" t="s">
        <v>612</v>
      </c>
      <c r="D16" s="15" t="str">
        <f>"0,5650"</f>
        <v>0,5650</v>
      </c>
      <c r="E16" s="15" t="s">
        <v>624</v>
      </c>
      <c r="F16" s="15" t="s">
        <v>19</v>
      </c>
      <c r="G16" s="17" t="s">
        <v>37</v>
      </c>
      <c r="H16" s="16"/>
      <c r="I16" s="16"/>
      <c r="J16" s="16"/>
      <c r="K16" s="15" t="str">
        <f>"180,0"</f>
        <v>180,0</v>
      </c>
      <c r="L16" s="17" t="str">
        <f>"120,4128"</f>
        <v>120,4128</v>
      </c>
      <c r="M16" s="15" t="s">
        <v>27</v>
      </c>
    </row>
    <row r="18" spans="1:13" ht="15">
      <c r="A18" s="48" t="s">
        <v>690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3">
      <c r="A19" s="6" t="s">
        <v>692</v>
      </c>
      <c r="B19" s="6" t="s">
        <v>693</v>
      </c>
      <c r="C19" s="6" t="s">
        <v>694</v>
      </c>
      <c r="D19" s="6" t="str">
        <f>"0,5390"</f>
        <v>0,5390</v>
      </c>
      <c r="E19" s="6" t="s">
        <v>32</v>
      </c>
      <c r="F19" s="6" t="s">
        <v>19</v>
      </c>
      <c r="G19" s="8" t="s">
        <v>695</v>
      </c>
      <c r="H19" s="8" t="s">
        <v>696</v>
      </c>
      <c r="I19" s="8" t="s">
        <v>697</v>
      </c>
      <c r="J19" s="7"/>
      <c r="K19" s="6" t="str">
        <f>"322,5"</f>
        <v>322,5</v>
      </c>
      <c r="L19" s="8" t="str">
        <f>"173,8404"</f>
        <v>173,8404</v>
      </c>
      <c r="M19" s="6" t="s">
        <v>27</v>
      </c>
    </row>
    <row r="21" spans="1:13" ht="15">
      <c r="E21" s="18" t="s">
        <v>86</v>
      </c>
    </row>
    <row r="22" spans="1:13" ht="15">
      <c r="E22" s="18" t="s">
        <v>87</v>
      </c>
    </row>
    <row r="23" spans="1:13" ht="15">
      <c r="E23" s="18" t="s">
        <v>88</v>
      </c>
    </row>
    <row r="24" spans="1:13" ht="15">
      <c r="E24" s="18" t="s">
        <v>89</v>
      </c>
    </row>
    <row r="25" spans="1:13" ht="15">
      <c r="E25" s="18" t="s">
        <v>89</v>
      </c>
    </row>
    <row r="26" spans="1:13" ht="15">
      <c r="E26" s="18" t="s">
        <v>90</v>
      </c>
    </row>
    <row r="27" spans="1:13" ht="15">
      <c r="E27" s="18"/>
    </row>
    <row r="29" spans="1:13" ht="18">
      <c r="A29" s="19" t="s">
        <v>91</v>
      </c>
      <c r="B29" s="19"/>
    </row>
    <row r="30" spans="1:13" ht="15">
      <c r="A30" s="20" t="s">
        <v>92</v>
      </c>
      <c r="B30" s="20"/>
    </row>
    <row r="31" spans="1:13" ht="14.25">
      <c r="A31" s="22"/>
      <c r="B31" s="23" t="s">
        <v>93</v>
      </c>
    </row>
    <row r="32" spans="1:13" ht="15">
      <c r="A32" s="24" t="s">
        <v>94</v>
      </c>
      <c r="B32" s="24" t="s">
        <v>95</v>
      </c>
      <c r="C32" s="24" t="s">
        <v>96</v>
      </c>
      <c r="D32" s="24" t="s">
        <v>97</v>
      </c>
      <c r="E32" s="24" t="s">
        <v>98</v>
      </c>
    </row>
    <row r="33" spans="1:5">
      <c r="A33" s="21" t="s">
        <v>680</v>
      </c>
      <c r="B33" s="4" t="s">
        <v>93</v>
      </c>
      <c r="C33" s="4" t="s">
        <v>121</v>
      </c>
      <c r="D33" s="4" t="s">
        <v>174</v>
      </c>
      <c r="E33" s="25" t="s">
        <v>698</v>
      </c>
    </row>
    <row r="34" spans="1:5">
      <c r="A34" s="21" t="s">
        <v>676</v>
      </c>
      <c r="B34" s="4" t="s">
        <v>93</v>
      </c>
      <c r="C34" s="4" t="s">
        <v>344</v>
      </c>
      <c r="D34" s="4" t="s">
        <v>22</v>
      </c>
      <c r="E34" s="25" t="s">
        <v>699</v>
      </c>
    </row>
    <row r="37" spans="1:5" ht="15">
      <c r="A37" s="20" t="s">
        <v>102</v>
      </c>
      <c r="B37" s="20"/>
    </row>
    <row r="38" spans="1:5" ht="14.25">
      <c r="A38" s="22"/>
      <c r="B38" s="23" t="s">
        <v>93</v>
      </c>
    </row>
    <row r="39" spans="1:5" ht="15">
      <c r="A39" s="24" t="s">
        <v>94</v>
      </c>
      <c r="B39" s="24" t="s">
        <v>95</v>
      </c>
      <c r="C39" s="24" t="s">
        <v>96</v>
      </c>
      <c r="D39" s="24" t="s">
        <v>97</v>
      </c>
      <c r="E39" s="24" t="s">
        <v>98</v>
      </c>
    </row>
    <row r="40" spans="1:5">
      <c r="A40" s="21" t="s">
        <v>691</v>
      </c>
      <c r="B40" s="4" t="s">
        <v>93</v>
      </c>
      <c r="C40" s="4" t="s">
        <v>700</v>
      </c>
      <c r="D40" s="4" t="s">
        <v>697</v>
      </c>
      <c r="E40" s="25" t="s">
        <v>701</v>
      </c>
    </row>
    <row r="41" spans="1:5">
      <c r="A41" s="21" t="s">
        <v>609</v>
      </c>
      <c r="B41" s="4" t="s">
        <v>93</v>
      </c>
      <c r="C41" s="4" t="s">
        <v>111</v>
      </c>
      <c r="D41" s="4" t="s">
        <v>173</v>
      </c>
      <c r="E41" s="25" t="s">
        <v>702</v>
      </c>
    </row>
    <row r="43" spans="1:5" ht="14.25">
      <c r="A43" s="22"/>
      <c r="B43" s="23" t="s">
        <v>990</v>
      </c>
    </row>
    <row r="44" spans="1:5" ht="15">
      <c r="A44" s="24" t="s">
        <v>94</v>
      </c>
      <c r="B44" s="24" t="s">
        <v>95</v>
      </c>
      <c r="C44" s="24" t="s">
        <v>96</v>
      </c>
      <c r="D44" s="24" t="s">
        <v>97</v>
      </c>
      <c r="E44" s="24" t="s">
        <v>98</v>
      </c>
    </row>
    <row r="45" spans="1:5">
      <c r="A45" s="21" t="s">
        <v>688</v>
      </c>
      <c r="B45" s="36" t="s">
        <v>991</v>
      </c>
      <c r="C45" s="4" t="s">
        <v>111</v>
      </c>
      <c r="D45" s="4" t="s">
        <v>37</v>
      </c>
      <c r="E45" s="25" t="s">
        <v>703</v>
      </c>
    </row>
  </sheetData>
  <mergeCells count="16">
    <mergeCell ref="A14:L14"/>
    <mergeCell ref="A18:L18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6"/>
  <sheetViews>
    <sheetView topLeftCell="A145" workbookViewId="0">
      <selection activeCell="B166" sqref="B166"/>
    </sheetView>
  </sheetViews>
  <sheetFormatPr defaultRowHeight="12.75"/>
  <cols>
    <col min="1" max="1" width="26" style="4" bestFit="1" customWidth="1"/>
    <col min="2" max="2" width="29" style="4" bestFit="1" customWidth="1"/>
    <col min="3" max="3" width="10.5703125" style="4" bestFit="1" customWidth="1"/>
    <col min="4" max="4" width="8.42578125" style="4" bestFit="1" customWidth="1"/>
    <col min="5" max="5" width="23.42578125" style="4" bestFit="1" customWidth="1"/>
    <col min="6" max="6" width="33.425781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1.5703125" style="4" bestFit="1" customWidth="1"/>
    <col min="14" max="16384" width="9.140625" style="3"/>
  </cols>
  <sheetData>
    <row r="1" spans="1:13" s="2" customFormat="1" ht="29.1" customHeight="1">
      <c r="A1" s="37" t="s">
        <v>992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.1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>
      <c r="A3" s="43" t="s">
        <v>0</v>
      </c>
      <c r="B3" s="45" t="s">
        <v>6</v>
      </c>
      <c r="C3" s="45" t="s">
        <v>7</v>
      </c>
      <c r="D3" s="47" t="s">
        <v>9</v>
      </c>
      <c r="E3" s="47" t="s">
        <v>4</v>
      </c>
      <c r="F3" s="47" t="s">
        <v>8</v>
      </c>
      <c r="G3" s="47" t="s">
        <v>11</v>
      </c>
      <c r="H3" s="47"/>
      <c r="I3" s="47"/>
      <c r="J3" s="47"/>
      <c r="K3" s="47" t="s">
        <v>244</v>
      </c>
      <c r="L3" s="47" t="s">
        <v>3</v>
      </c>
      <c r="M3" s="49" t="s">
        <v>2</v>
      </c>
    </row>
    <row r="4" spans="1:13" s="1" customFormat="1" ht="21" customHeight="1" thickBot="1">
      <c r="A4" s="44"/>
      <c r="B4" s="46"/>
      <c r="C4" s="46"/>
      <c r="D4" s="46"/>
      <c r="E4" s="46"/>
      <c r="F4" s="46"/>
      <c r="G4" s="5">
        <v>1</v>
      </c>
      <c r="H4" s="5">
        <v>2</v>
      </c>
      <c r="I4" s="5">
        <v>3</v>
      </c>
      <c r="J4" s="5" t="s">
        <v>5</v>
      </c>
      <c r="K4" s="46"/>
      <c r="L4" s="46"/>
      <c r="M4" s="50"/>
    </row>
    <row r="5" spans="1:13" ht="15">
      <c r="A5" s="51" t="s">
        <v>408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>
      <c r="A6" s="6" t="s">
        <v>410</v>
      </c>
      <c r="B6" s="6" t="s">
        <v>411</v>
      </c>
      <c r="C6" s="6" t="s">
        <v>412</v>
      </c>
      <c r="D6" s="6" t="str">
        <f>"1,1264"</f>
        <v>1,1264</v>
      </c>
      <c r="E6" s="6" t="s">
        <v>32</v>
      </c>
      <c r="F6" s="6" t="s">
        <v>413</v>
      </c>
      <c r="G6" s="8" t="s">
        <v>132</v>
      </c>
      <c r="H6" s="8" t="s">
        <v>133</v>
      </c>
      <c r="I6" s="8" t="s">
        <v>276</v>
      </c>
      <c r="J6" s="7"/>
      <c r="K6" s="6" t="str">
        <f>"42,5"</f>
        <v>42,5</v>
      </c>
      <c r="L6" s="8" t="str">
        <f>"47,8720"</f>
        <v>47,8720</v>
      </c>
      <c r="M6" s="6" t="s">
        <v>27</v>
      </c>
    </row>
    <row r="8" spans="1:13" ht="15">
      <c r="A8" s="48" t="s">
        <v>263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>
      <c r="A9" s="9" t="s">
        <v>415</v>
      </c>
      <c r="B9" s="9" t="s">
        <v>416</v>
      </c>
      <c r="C9" s="9" t="s">
        <v>417</v>
      </c>
      <c r="D9" s="9" t="str">
        <f>"1,0653"</f>
        <v>1,0653</v>
      </c>
      <c r="E9" s="9" t="s">
        <v>32</v>
      </c>
      <c r="F9" s="9" t="s">
        <v>19</v>
      </c>
      <c r="G9" s="10" t="s">
        <v>130</v>
      </c>
      <c r="H9" s="11" t="s">
        <v>131</v>
      </c>
      <c r="I9" s="11" t="s">
        <v>131</v>
      </c>
      <c r="J9" s="11"/>
      <c r="K9" s="9" t="str">
        <f>"45,0"</f>
        <v>45,0</v>
      </c>
      <c r="L9" s="10" t="str">
        <f>"47,9385"</f>
        <v>47,9385</v>
      </c>
      <c r="M9" s="9" t="s">
        <v>27</v>
      </c>
    </row>
    <row r="10" spans="1:13">
      <c r="A10" s="15" t="s">
        <v>419</v>
      </c>
      <c r="B10" s="15" t="s">
        <v>420</v>
      </c>
      <c r="C10" s="15" t="s">
        <v>421</v>
      </c>
      <c r="D10" s="15" t="str">
        <f>"1,0606"</f>
        <v>1,0606</v>
      </c>
      <c r="E10" s="15" t="s">
        <v>32</v>
      </c>
      <c r="F10" s="15" t="s">
        <v>19</v>
      </c>
      <c r="G10" s="17" t="s">
        <v>130</v>
      </c>
      <c r="H10" s="17" t="s">
        <v>277</v>
      </c>
      <c r="I10" s="16" t="s">
        <v>131</v>
      </c>
      <c r="J10" s="16"/>
      <c r="K10" s="15" t="str">
        <f>"47,5"</f>
        <v>47,5</v>
      </c>
      <c r="L10" s="17" t="str">
        <f>"50,3785"</f>
        <v>50,3785</v>
      </c>
      <c r="M10" s="15" t="s">
        <v>27</v>
      </c>
    </row>
    <row r="12" spans="1:13" ht="15">
      <c r="A12" s="48" t="s">
        <v>278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3">
      <c r="A13" s="9" t="s">
        <v>423</v>
      </c>
      <c r="B13" s="9" t="s">
        <v>424</v>
      </c>
      <c r="C13" s="9" t="s">
        <v>425</v>
      </c>
      <c r="D13" s="9" t="str">
        <f>"0,9969"</f>
        <v>0,9969</v>
      </c>
      <c r="E13" s="9" t="s">
        <v>32</v>
      </c>
      <c r="F13" s="9" t="s">
        <v>19</v>
      </c>
      <c r="G13" s="10" t="s">
        <v>24</v>
      </c>
      <c r="H13" s="10" t="s">
        <v>173</v>
      </c>
      <c r="I13" s="10" t="s">
        <v>174</v>
      </c>
      <c r="J13" s="11"/>
      <c r="K13" s="9" t="str">
        <f>"105,0"</f>
        <v>105,0</v>
      </c>
      <c r="L13" s="10" t="str">
        <f>"104,6797"</f>
        <v>104,6797</v>
      </c>
      <c r="M13" s="9" t="s">
        <v>27</v>
      </c>
    </row>
    <row r="14" spans="1:13">
      <c r="A14" s="15" t="s">
        <v>427</v>
      </c>
      <c r="B14" s="15" t="s">
        <v>428</v>
      </c>
      <c r="C14" s="15" t="s">
        <v>429</v>
      </c>
      <c r="D14" s="15" t="str">
        <f>"0,9889"</f>
        <v>0,9889</v>
      </c>
      <c r="E14" s="15" t="s">
        <v>32</v>
      </c>
      <c r="F14" s="15" t="s">
        <v>19</v>
      </c>
      <c r="G14" s="17" t="s">
        <v>130</v>
      </c>
      <c r="H14" s="17" t="s">
        <v>131</v>
      </c>
      <c r="I14" s="17" t="s">
        <v>291</v>
      </c>
      <c r="J14" s="16"/>
      <c r="K14" s="15" t="str">
        <f>"52,5"</f>
        <v>52,5</v>
      </c>
      <c r="L14" s="17" t="str">
        <f>"51,9173"</f>
        <v>51,9173</v>
      </c>
      <c r="M14" s="15" t="s">
        <v>27</v>
      </c>
    </row>
    <row r="16" spans="1:13" ht="15">
      <c r="A16" s="48" t="s">
        <v>13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1:13">
      <c r="A17" s="9" t="s">
        <v>431</v>
      </c>
      <c r="B17" s="9" t="s">
        <v>432</v>
      </c>
      <c r="C17" s="9" t="s">
        <v>433</v>
      </c>
      <c r="D17" s="9" t="str">
        <f>"0,9244"</f>
        <v>0,9244</v>
      </c>
      <c r="E17" s="9" t="s">
        <v>32</v>
      </c>
      <c r="F17" s="9" t="s">
        <v>19</v>
      </c>
      <c r="G17" s="10" t="s">
        <v>167</v>
      </c>
      <c r="H17" s="10" t="s">
        <v>274</v>
      </c>
      <c r="I17" s="10" t="s">
        <v>168</v>
      </c>
      <c r="J17" s="11"/>
      <c r="K17" s="9" t="str">
        <f>"70,0"</f>
        <v>70,0</v>
      </c>
      <c r="L17" s="10" t="str">
        <f>"64,7080"</f>
        <v>64,7080</v>
      </c>
      <c r="M17" s="9" t="s">
        <v>27</v>
      </c>
    </row>
    <row r="18" spans="1:13">
      <c r="A18" s="15" t="s">
        <v>435</v>
      </c>
      <c r="B18" s="32" t="s">
        <v>993</v>
      </c>
      <c r="C18" s="15" t="s">
        <v>436</v>
      </c>
      <c r="D18" s="15" t="str">
        <f>"0,9145"</f>
        <v>0,9145</v>
      </c>
      <c r="E18" s="15" t="s">
        <v>32</v>
      </c>
      <c r="F18" s="15" t="s">
        <v>19</v>
      </c>
      <c r="G18" s="17" t="s">
        <v>168</v>
      </c>
      <c r="H18" s="16" t="s">
        <v>275</v>
      </c>
      <c r="I18" s="17" t="s">
        <v>275</v>
      </c>
      <c r="J18" s="16"/>
      <c r="K18" s="15" t="str">
        <f>"72,5"</f>
        <v>72,5</v>
      </c>
      <c r="L18" s="17" t="str">
        <f>"68,3566"</f>
        <v>68,3566</v>
      </c>
      <c r="M18" s="15" t="s">
        <v>27</v>
      </c>
    </row>
    <row r="20" spans="1:13" ht="15">
      <c r="A20" s="48" t="s">
        <v>278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3">
      <c r="A21" s="9" t="s">
        <v>438</v>
      </c>
      <c r="B21" s="9" t="s">
        <v>439</v>
      </c>
      <c r="C21" s="9" t="s">
        <v>440</v>
      </c>
      <c r="D21" s="9" t="str">
        <f>"0,8495"</f>
        <v>0,8495</v>
      </c>
      <c r="E21" s="9" t="s">
        <v>32</v>
      </c>
      <c r="F21" s="9" t="s">
        <v>19</v>
      </c>
      <c r="G21" s="11" t="s">
        <v>20</v>
      </c>
      <c r="H21" s="10" t="s">
        <v>20</v>
      </c>
      <c r="I21" s="11" t="s">
        <v>84</v>
      </c>
      <c r="J21" s="11"/>
      <c r="K21" s="9" t="str">
        <f>"130,0"</f>
        <v>130,0</v>
      </c>
      <c r="L21" s="10" t="str">
        <f>"110,4350"</f>
        <v>110,4350</v>
      </c>
      <c r="M21" s="9" t="s">
        <v>27</v>
      </c>
    </row>
    <row r="22" spans="1:13">
      <c r="A22" s="15" t="s">
        <v>441</v>
      </c>
      <c r="B22" s="15" t="s">
        <v>442</v>
      </c>
      <c r="C22" s="15" t="s">
        <v>443</v>
      </c>
      <c r="D22" s="15" t="str">
        <f>"0,8523"</f>
        <v>0,8523</v>
      </c>
      <c r="E22" s="15" t="s">
        <v>32</v>
      </c>
      <c r="F22" s="15" t="s">
        <v>19</v>
      </c>
      <c r="G22" s="17" t="s">
        <v>161</v>
      </c>
      <c r="H22" s="17" t="s">
        <v>23</v>
      </c>
      <c r="I22" s="17" t="s">
        <v>135</v>
      </c>
      <c r="J22" s="16"/>
      <c r="K22" s="15" t="str">
        <f>"92,5"</f>
        <v>92,5</v>
      </c>
      <c r="L22" s="17" t="str">
        <f>"78,8424"</f>
        <v>78,8424</v>
      </c>
      <c r="M22" s="15" t="s">
        <v>27</v>
      </c>
    </row>
    <row r="24" spans="1:13" ht="15">
      <c r="A24" s="48" t="s">
        <v>13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3">
      <c r="A25" s="9" t="s">
        <v>445</v>
      </c>
      <c r="B25" s="9" t="s">
        <v>446</v>
      </c>
      <c r="C25" s="9" t="s">
        <v>164</v>
      </c>
      <c r="D25" s="9" t="str">
        <f>"0,7494"</f>
        <v>0,7494</v>
      </c>
      <c r="E25" s="9" t="s">
        <v>32</v>
      </c>
      <c r="F25" s="9" t="s">
        <v>19</v>
      </c>
      <c r="G25" s="10" t="s">
        <v>293</v>
      </c>
      <c r="H25" s="11" t="s">
        <v>36</v>
      </c>
      <c r="I25" s="11" t="s">
        <v>36</v>
      </c>
      <c r="J25" s="11"/>
      <c r="K25" s="9" t="str">
        <f>"117,5"</f>
        <v>117,5</v>
      </c>
      <c r="L25" s="10" t="str">
        <f>"88,0486"</f>
        <v>88,0486</v>
      </c>
      <c r="M25" s="9" t="s">
        <v>27</v>
      </c>
    </row>
    <row r="26" spans="1:13">
      <c r="A26" s="12" t="s">
        <v>448</v>
      </c>
      <c r="B26" s="12" t="s">
        <v>449</v>
      </c>
      <c r="C26" s="12" t="s">
        <v>450</v>
      </c>
      <c r="D26" s="12" t="str">
        <f>"0,7764"</f>
        <v>0,7764</v>
      </c>
      <c r="E26" s="12" t="s">
        <v>32</v>
      </c>
      <c r="F26" s="12" t="s">
        <v>19</v>
      </c>
      <c r="G26" s="13" t="s">
        <v>381</v>
      </c>
      <c r="H26" s="13" t="s">
        <v>175</v>
      </c>
      <c r="I26" s="13" t="s">
        <v>182</v>
      </c>
      <c r="J26" s="14"/>
      <c r="K26" s="12" t="str">
        <f>"112,5"</f>
        <v>112,5</v>
      </c>
      <c r="L26" s="13" t="str">
        <f>"87,3506"</f>
        <v>87,3506</v>
      </c>
      <c r="M26" s="12" t="s">
        <v>27</v>
      </c>
    </row>
    <row r="27" spans="1:13">
      <c r="A27" s="12" t="s">
        <v>452</v>
      </c>
      <c r="B27" s="12" t="s">
        <v>453</v>
      </c>
      <c r="C27" s="12" t="s">
        <v>379</v>
      </c>
      <c r="D27" s="12" t="str">
        <f>"0,7590"</f>
        <v>0,7590</v>
      </c>
      <c r="E27" s="12" t="s">
        <v>32</v>
      </c>
      <c r="F27" s="12" t="s">
        <v>19</v>
      </c>
      <c r="G27" s="13" t="s">
        <v>35</v>
      </c>
      <c r="H27" s="13" t="s">
        <v>20</v>
      </c>
      <c r="I27" s="13" t="s">
        <v>84</v>
      </c>
      <c r="J27" s="14"/>
      <c r="K27" s="12" t="str">
        <f>"135,0"</f>
        <v>135,0</v>
      </c>
      <c r="L27" s="13" t="str">
        <f>"102,4650"</f>
        <v>102,4650</v>
      </c>
      <c r="M27" s="12" t="s">
        <v>27</v>
      </c>
    </row>
    <row r="28" spans="1:13">
      <c r="A28" s="12" t="s">
        <v>455</v>
      </c>
      <c r="B28" s="12" t="s">
        <v>456</v>
      </c>
      <c r="C28" s="12" t="s">
        <v>457</v>
      </c>
      <c r="D28" s="12" t="str">
        <f>"0,8012"</f>
        <v>0,8012</v>
      </c>
      <c r="E28" s="12" t="s">
        <v>32</v>
      </c>
      <c r="F28" s="12" t="s">
        <v>19</v>
      </c>
      <c r="G28" s="13" t="s">
        <v>20</v>
      </c>
      <c r="H28" s="14" t="s">
        <v>84</v>
      </c>
      <c r="I28" s="14" t="s">
        <v>84</v>
      </c>
      <c r="J28" s="14"/>
      <c r="K28" s="12" t="str">
        <f>"130,0"</f>
        <v>130,0</v>
      </c>
      <c r="L28" s="13" t="str">
        <f>"104,1625"</f>
        <v>104,1625</v>
      </c>
      <c r="M28" s="12" t="s">
        <v>27</v>
      </c>
    </row>
    <row r="29" spans="1:13">
      <c r="A29" s="12" t="s">
        <v>459</v>
      </c>
      <c r="B29" s="12" t="s">
        <v>460</v>
      </c>
      <c r="C29" s="12" t="s">
        <v>461</v>
      </c>
      <c r="D29" s="12" t="str">
        <f>"0,7484"</f>
        <v>0,7484</v>
      </c>
      <c r="E29" s="12" t="s">
        <v>32</v>
      </c>
      <c r="F29" s="12" t="s">
        <v>19</v>
      </c>
      <c r="G29" s="13" t="s">
        <v>35</v>
      </c>
      <c r="H29" s="13" t="s">
        <v>462</v>
      </c>
      <c r="I29" s="13" t="s">
        <v>20</v>
      </c>
      <c r="J29" s="14"/>
      <c r="K29" s="12" t="str">
        <f>"130,0"</f>
        <v>130,0</v>
      </c>
      <c r="L29" s="13" t="str">
        <f>"97,2920"</f>
        <v>97,2920</v>
      </c>
      <c r="M29" s="12" t="s">
        <v>27</v>
      </c>
    </row>
    <row r="30" spans="1:13">
      <c r="A30" s="12" t="s">
        <v>463</v>
      </c>
      <c r="B30" s="12" t="s">
        <v>464</v>
      </c>
      <c r="C30" s="12" t="s">
        <v>465</v>
      </c>
      <c r="D30" s="12" t="str">
        <f>"0,7640"</f>
        <v>0,7640</v>
      </c>
      <c r="E30" s="12" t="s">
        <v>32</v>
      </c>
      <c r="F30" s="12" t="s">
        <v>19</v>
      </c>
      <c r="G30" s="14" t="s">
        <v>381</v>
      </c>
      <c r="H30" s="14" t="s">
        <v>381</v>
      </c>
      <c r="I30" s="14" t="s">
        <v>381</v>
      </c>
      <c r="J30" s="14"/>
      <c r="K30" s="12" t="str">
        <f>"0.00"</f>
        <v>0.00</v>
      </c>
      <c r="L30" s="13" t="str">
        <f>"0,0000"</f>
        <v>0,0000</v>
      </c>
      <c r="M30" s="12" t="s">
        <v>27</v>
      </c>
    </row>
    <row r="31" spans="1:13">
      <c r="A31" s="15" t="s">
        <v>467</v>
      </c>
      <c r="B31" s="32" t="s">
        <v>994</v>
      </c>
      <c r="C31" s="15" t="s">
        <v>436</v>
      </c>
      <c r="D31" s="15" t="str">
        <f>"0,7620"</f>
        <v>0,7620</v>
      </c>
      <c r="E31" s="15" t="s">
        <v>32</v>
      </c>
      <c r="F31" s="15" t="s">
        <v>468</v>
      </c>
      <c r="G31" s="17" t="s">
        <v>174</v>
      </c>
      <c r="H31" s="17" t="s">
        <v>175</v>
      </c>
      <c r="I31" s="17" t="s">
        <v>45</v>
      </c>
      <c r="J31" s="16"/>
      <c r="K31" s="15" t="str">
        <f>"115,0"</f>
        <v>115,0</v>
      </c>
      <c r="L31" s="17" t="str">
        <f>"99,0219"</f>
        <v>99,0219</v>
      </c>
      <c r="M31" s="15" t="s">
        <v>27</v>
      </c>
    </row>
    <row r="33" spans="1:13" ht="15">
      <c r="A33" s="48" t="s">
        <v>169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3">
      <c r="A34" s="9" t="s">
        <v>470</v>
      </c>
      <c r="B34" s="9" t="s">
        <v>471</v>
      </c>
      <c r="C34" s="9" t="s">
        <v>472</v>
      </c>
      <c r="D34" s="9" t="str">
        <f>"0,7348"</f>
        <v>0,7348</v>
      </c>
      <c r="E34" s="9" t="s">
        <v>32</v>
      </c>
      <c r="F34" s="9" t="s">
        <v>473</v>
      </c>
      <c r="G34" s="10" t="s">
        <v>173</v>
      </c>
      <c r="H34" s="10" t="s">
        <v>175</v>
      </c>
      <c r="I34" s="10" t="s">
        <v>293</v>
      </c>
      <c r="J34" s="11"/>
      <c r="K34" s="9" t="str">
        <f>"117,5"</f>
        <v>117,5</v>
      </c>
      <c r="L34" s="10" t="str">
        <f>"86,3449"</f>
        <v>86,3449</v>
      </c>
      <c r="M34" s="9" t="s">
        <v>27</v>
      </c>
    </row>
    <row r="35" spans="1:13">
      <c r="A35" s="12" t="s">
        <v>475</v>
      </c>
      <c r="B35" s="12" t="s">
        <v>476</v>
      </c>
      <c r="C35" s="12" t="s">
        <v>477</v>
      </c>
      <c r="D35" s="12" t="str">
        <f>"0,7027"</f>
        <v>0,7027</v>
      </c>
      <c r="E35" s="12" t="s">
        <v>32</v>
      </c>
      <c r="F35" s="12" t="s">
        <v>19</v>
      </c>
      <c r="G35" s="13" t="s">
        <v>293</v>
      </c>
      <c r="H35" s="14" t="s">
        <v>84</v>
      </c>
      <c r="I35" s="13" t="s">
        <v>84</v>
      </c>
      <c r="J35" s="14"/>
      <c r="K35" s="12" t="str">
        <f>"135,0"</f>
        <v>135,0</v>
      </c>
      <c r="L35" s="13" t="str">
        <f>"94,8578"</f>
        <v>94,8578</v>
      </c>
      <c r="M35" s="12" t="s">
        <v>27</v>
      </c>
    </row>
    <row r="36" spans="1:13">
      <c r="A36" s="12" t="s">
        <v>479</v>
      </c>
      <c r="B36" s="12" t="s">
        <v>480</v>
      </c>
      <c r="C36" s="12" t="s">
        <v>481</v>
      </c>
      <c r="D36" s="12" t="str">
        <f>"0,7117"</f>
        <v>0,7117</v>
      </c>
      <c r="E36" s="12" t="s">
        <v>32</v>
      </c>
      <c r="F36" s="12" t="s">
        <v>19</v>
      </c>
      <c r="G36" s="13" t="s">
        <v>293</v>
      </c>
      <c r="H36" s="13" t="s">
        <v>36</v>
      </c>
      <c r="I36" s="14" t="s">
        <v>84</v>
      </c>
      <c r="J36" s="14"/>
      <c r="K36" s="12" t="str">
        <f>"125,0"</f>
        <v>125,0</v>
      </c>
      <c r="L36" s="13" t="str">
        <f>"88,9625"</f>
        <v>88,9625</v>
      </c>
      <c r="M36" s="12" t="s">
        <v>27</v>
      </c>
    </row>
    <row r="37" spans="1:13">
      <c r="A37" s="12" t="s">
        <v>483</v>
      </c>
      <c r="B37" s="12" t="s">
        <v>484</v>
      </c>
      <c r="C37" s="12" t="s">
        <v>485</v>
      </c>
      <c r="D37" s="12" t="str">
        <f>"0,6990"</f>
        <v>0,6990</v>
      </c>
      <c r="E37" s="12" t="s">
        <v>32</v>
      </c>
      <c r="F37" s="12" t="s">
        <v>19</v>
      </c>
      <c r="G37" s="13" t="s">
        <v>293</v>
      </c>
      <c r="H37" s="13" t="s">
        <v>35</v>
      </c>
      <c r="I37" s="13" t="s">
        <v>486</v>
      </c>
      <c r="J37" s="14"/>
      <c r="K37" s="12" t="str">
        <f>"122,5"</f>
        <v>122,5</v>
      </c>
      <c r="L37" s="13" t="str">
        <f>"85,6275"</f>
        <v>85,6275</v>
      </c>
      <c r="M37" s="12" t="s">
        <v>27</v>
      </c>
    </row>
    <row r="38" spans="1:13">
      <c r="A38" s="12" t="s">
        <v>488</v>
      </c>
      <c r="B38" s="12" t="s">
        <v>489</v>
      </c>
      <c r="C38" s="12" t="s">
        <v>490</v>
      </c>
      <c r="D38" s="12" t="str">
        <f>"0,7049"</f>
        <v>0,7049</v>
      </c>
      <c r="E38" s="12" t="s">
        <v>32</v>
      </c>
      <c r="F38" s="12" t="s">
        <v>491</v>
      </c>
      <c r="G38" s="13" t="s">
        <v>35</v>
      </c>
      <c r="H38" s="14" t="s">
        <v>20</v>
      </c>
      <c r="I38" s="14" t="s">
        <v>84</v>
      </c>
      <c r="J38" s="14"/>
      <c r="K38" s="12" t="str">
        <f>"120,0"</f>
        <v>120,0</v>
      </c>
      <c r="L38" s="13" t="str">
        <f>"84,5820"</f>
        <v>84,5820</v>
      </c>
      <c r="M38" s="12" t="s">
        <v>27</v>
      </c>
    </row>
    <row r="39" spans="1:13">
      <c r="A39" s="12" t="s">
        <v>492</v>
      </c>
      <c r="B39" s="12" t="s">
        <v>493</v>
      </c>
      <c r="C39" s="12" t="s">
        <v>494</v>
      </c>
      <c r="D39" s="12" t="str">
        <f>"0,6940"</f>
        <v>0,6940</v>
      </c>
      <c r="E39" s="12" t="s">
        <v>32</v>
      </c>
      <c r="F39" s="12" t="s">
        <v>19</v>
      </c>
      <c r="G39" s="13" t="s">
        <v>175</v>
      </c>
      <c r="H39" s="13" t="s">
        <v>293</v>
      </c>
      <c r="I39" s="14" t="s">
        <v>35</v>
      </c>
      <c r="J39" s="14"/>
      <c r="K39" s="12" t="str">
        <f>"117,5"</f>
        <v>117,5</v>
      </c>
      <c r="L39" s="13" t="str">
        <f>"81,5450"</f>
        <v>81,5450</v>
      </c>
      <c r="M39" s="12" t="s">
        <v>27</v>
      </c>
    </row>
    <row r="40" spans="1:13">
      <c r="A40" s="15" t="s">
        <v>496</v>
      </c>
      <c r="B40" s="15" t="s">
        <v>497</v>
      </c>
      <c r="C40" s="15" t="s">
        <v>498</v>
      </c>
      <c r="D40" s="15" t="str">
        <f>"0,7012"</f>
        <v>0,7012</v>
      </c>
      <c r="E40" s="15" t="s">
        <v>32</v>
      </c>
      <c r="F40" s="15" t="s">
        <v>499</v>
      </c>
      <c r="G40" s="17" t="s">
        <v>173</v>
      </c>
      <c r="H40" s="17" t="s">
        <v>174</v>
      </c>
      <c r="I40" s="16" t="s">
        <v>175</v>
      </c>
      <c r="J40" s="16"/>
      <c r="K40" s="15" t="str">
        <f>"105,0"</f>
        <v>105,0</v>
      </c>
      <c r="L40" s="17" t="str">
        <f>"73,6208"</f>
        <v>73,6208</v>
      </c>
      <c r="M40" s="15" t="s">
        <v>27</v>
      </c>
    </row>
    <row r="42" spans="1:13" ht="15">
      <c r="A42" s="48" t="s">
        <v>28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3">
      <c r="A43" s="9" t="s">
        <v>501</v>
      </c>
      <c r="B43" s="9" t="s">
        <v>502</v>
      </c>
      <c r="C43" s="9" t="s">
        <v>503</v>
      </c>
      <c r="D43" s="9" t="str">
        <f>"0,6768"</f>
        <v>0,6768</v>
      </c>
      <c r="E43" s="9" t="s">
        <v>32</v>
      </c>
      <c r="F43" s="9" t="s">
        <v>19</v>
      </c>
      <c r="G43" s="10" t="s">
        <v>284</v>
      </c>
      <c r="H43" s="10" t="s">
        <v>166</v>
      </c>
      <c r="I43" s="10" t="s">
        <v>167</v>
      </c>
      <c r="J43" s="11"/>
      <c r="K43" s="9" t="str">
        <f>"65,0"</f>
        <v>65,0</v>
      </c>
      <c r="L43" s="10" t="str">
        <f>"43,9888"</f>
        <v>43,9888</v>
      </c>
      <c r="M43" s="9" t="s">
        <v>27</v>
      </c>
    </row>
    <row r="44" spans="1:13">
      <c r="A44" s="12" t="s">
        <v>505</v>
      </c>
      <c r="B44" s="12" t="s">
        <v>506</v>
      </c>
      <c r="C44" s="12" t="s">
        <v>507</v>
      </c>
      <c r="D44" s="12" t="str">
        <f>"0,6641"</f>
        <v>0,6641</v>
      </c>
      <c r="E44" s="12" t="s">
        <v>32</v>
      </c>
      <c r="F44" s="12" t="s">
        <v>19</v>
      </c>
      <c r="G44" s="13" t="s">
        <v>508</v>
      </c>
      <c r="H44" s="13" t="s">
        <v>85</v>
      </c>
      <c r="I44" s="14" t="s">
        <v>147</v>
      </c>
      <c r="J44" s="14"/>
      <c r="K44" s="12" t="str">
        <f>"142,5"</f>
        <v>142,5</v>
      </c>
      <c r="L44" s="13" t="str">
        <f>"94,6342"</f>
        <v>94,6342</v>
      </c>
      <c r="M44" s="12" t="s">
        <v>27</v>
      </c>
    </row>
    <row r="45" spans="1:13">
      <c r="A45" s="12" t="s">
        <v>510</v>
      </c>
      <c r="B45" s="12" t="s">
        <v>511</v>
      </c>
      <c r="C45" s="12" t="s">
        <v>512</v>
      </c>
      <c r="D45" s="12" t="str">
        <f>"0,6508"</f>
        <v>0,6508</v>
      </c>
      <c r="E45" s="12" t="s">
        <v>32</v>
      </c>
      <c r="F45" s="12" t="s">
        <v>19</v>
      </c>
      <c r="G45" s="13" t="s">
        <v>462</v>
      </c>
      <c r="H45" s="13" t="s">
        <v>513</v>
      </c>
      <c r="I45" s="13" t="s">
        <v>84</v>
      </c>
      <c r="J45" s="14"/>
      <c r="K45" s="12" t="str">
        <f>"135,0"</f>
        <v>135,0</v>
      </c>
      <c r="L45" s="13" t="str">
        <f>"87,8580"</f>
        <v>87,8580</v>
      </c>
      <c r="M45" s="12" t="s">
        <v>27</v>
      </c>
    </row>
    <row r="46" spans="1:13">
      <c r="A46" s="12" t="s">
        <v>515</v>
      </c>
      <c r="B46" s="12" t="s">
        <v>516</v>
      </c>
      <c r="C46" s="12" t="s">
        <v>517</v>
      </c>
      <c r="D46" s="12" t="str">
        <f>"0,6535"</f>
        <v>0,6535</v>
      </c>
      <c r="E46" s="12" t="s">
        <v>32</v>
      </c>
      <c r="F46" s="12" t="s">
        <v>19</v>
      </c>
      <c r="G46" s="13" t="s">
        <v>462</v>
      </c>
      <c r="H46" s="14" t="s">
        <v>20</v>
      </c>
      <c r="I46" s="14" t="s">
        <v>513</v>
      </c>
      <c r="J46" s="14"/>
      <c r="K46" s="12" t="str">
        <f>"127,5"</f>
        <v>127,5</v>
      </c>
      <c r="L46" s="13" t="str">
        <f>"83,3149"</f>
        <v>83,3149</v>
      </c>
      <c r="M46" s="12" t="s">
        <v>27</v>
      </c>
    </row>
    <row r="47" spans="1:13">
      <c r="A47" s="12" t="s">
        <v>519</v>
      </c>
      <c r="B47" s="12" t="s">
        <v>520</v>
      </c>
      <c r="C47" s="12" t="s">
        <v>521</v>
      </c>
      <c r="D47" s="12" t="str">
        <f>"0,6492"</f>
        <v>0,6492</v>
      </c>
      <c r="E47" s="12" t="s">
        <v>32</v>
      </c>
      <c r="F47" s="12" t="s">
        <v>19</v>
      </c>
      <c r="G47" s="14" t="s">
        <v>486</v>
      </c>
      <c r="H47" s="13" t="s">
        <v>462</v>
      </c>
      <c r="I47" s="14" t="s">
        <v>20</v>
      </c>
      <c r="J47" s="14"/>
      <c r="K47" s="12" t="str">
        <f>"127,5"</f>
        <v>127,5</v>
      </c>
      <c r="L47" s="13" t="str">
        <f>"82,7794"</f>
        <v>82,7794</v>
      </c>
      <c r="M47" s="12" t="s">
        <v>27</v>
      </c>
    </row>
    <row r="48" spans="1:13">
      <c r="A48" s="12" t="s">
        <v>523</v>
      </c>
      <c r="B48" s="12" t="s">
        <v>524</v>
      </c>
      <c r="C48" s="12" t="s">
        <v>525</v>
      </c>
      <c r="D48" s="12" t="str">
        <f>"0,6561"</f>
        <v>0,6561</v>
      </c>
      <c r="E48" s="12" t="s">
        <v>32</v>
      </c>
      <c r="F48" s="12" t="s">
        <v>19</v>
      </c>
      <c r="G48" s="14" t="s">
        <v>147</v>
      </c>
      <c r="H48" s="14" t="s">
        <v>147</v>
      </c>
      <c r="I48" s="14" t="s">
        <v>147</v>
      </c>
      <c r="J48" s="14"/>
      <c r="K48" s="12" t="str">
        <f>"0.00"</f>
        <v>0.00</v>
      </c>
      <c r="L48" s="13" t="str">
        <f>"0,0000"</f>
        <v>0,0000</v>
      </c>
      <c r="M48" s="12" t="s">
        <v>27</v>
      </c>
    </row>
    <row r="49" spans="1:13">
      <c r="A49" s="12" t="s">
        <v>526</v>
      </c>
      <c r="B49" s="12" t="s">
        <v>527</v>
      </c>
      <c r="C49" s="12" t="s">
        <v>528</v>
      </c>
      <c r="D49" s="12" t="str">
        <f>"0,6545"</f>
        <v>0,6545</v>
      </c>
      <c r="E49" s="12" t="s">
        <v>32</v>
      </c>
      <c r="F49" s="12" t="s">
        <v>529</v>
      </c>
      <c r="G49" s="14" t="s">
        <v>36</v>
      </c>
      <c r="H49" s="14" t="s">
        <v>462</v>
      </c>
      <c r="I49" s="14" t="s">
        <v>462</v>
      </c>
      <c r="J49" s="14"/>
      <c r="K49" s="12" t="str">
        <f>"0.00"</f>
        <v>0.00</v>
      </c>
      <c r="L49" s="13" t="str">
        <f>"0,0000"</f>
        <v>0,0000</v>
      </c>
      <c r="M49" s="12" t="s">
        <v>27</v>
      </c>
    </row>
    <row r="50" spans="1:13">
      <c r="A50" s="12" t="s">
        <v>530</v>
      </c>
      <c r="B50" s="12" t="s">
        <v>531</v>
      </c>
      <c r="C50" s="12" t="s">
        <v>532</v>
      </c>
      <c r="D50" s="12" t="str">
        <f>"0,6540"</f>
        <v>0,6540</v>
      </c>
      <c r="E50" s="12" t="s">
        <v>32</v>
      </c>
      <c r="F50" s="12" t="s">
        <v>533</v>
      </c>
      <c r="G50" s="14" t="s">
        <v>182</v>
      </c>
      <c r="H50" s="14" t="s">
        <v>182</v>
      </c>
      <c r="I50" s="14" t="s">
        <v>182</v>
      </c>
      <c r="J50" s="14"/>
      <c r="K50" s="12" t="str">
        <f>"0.00"</f>
        <v>0.00</v>
      </c>
      <c r="L50" s="13" t="str">
        <f>"0,0000"</f>
        <v>0,0000</v>
      </c>
      <c r="M50" s="12" t="s">
        <v>27</v>
      </c>
    </row>
    <row r="51" spans="1:13">
      <c r="A51" s="15" t="s">
        <v>523</v>
      </c>
      <c r="B51" s="32" t="s">
        <v>995</v>
      </c>
      <c r="C51" s="15" t="s">
        <v>525</v>
      </c>
      <c r="D51" s="15" t="str">
        <f>"0,6561"</f>
        <v>0,6561</v>
      </c>
      <c r="E51" s="15" t="s">
        <v>32</v>
      </c>
      <c r="F51" s="15" t="s">
        <v>19</v>
      </c>
      <c r="G51" s="16" t="s">
        <v>147</v>
      </c>
      <c r="H51" s="16" t="s">
        <v>147</v>
      </c>
      <c r="I51" s="16" t="s">
        <v>147</v>
      </c>
      <c r="J51" s="16"/>
      <c r="K51" s="15" t="str">
        <f>"0.00"</f>
        <v>0.00</v>
      </c>
      <c r="L51" s="17" t="str">
        <f>"0,0000"</f>
        <v>0,0000</v>
      </c>
      <c r="M51" s="15" t="s">
        <v>27</v>
      </c>
    </row>
    <row r="53" spans="1:13" ht="15">
      <c r="A53" s="48" t="s">
        <v>39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1:13">
      <c r="A54" s="9" t="s">
        <v>535</v>
      </c>
      <c r="B54" s="9" t="s">
        <v>536</v>
      </c>
      <c r="C54" s="9" t="s">
        <v>537</v>
      </c>
      <c r="D54" s="9" t="str">
        <f>"0,6165"</f>
        <v>0,6165</v>
      </c>
      <c r="E54" s="9" t="s">
        <v>32</v>
      </c>
      <c r="F54" s="9" t="s">
        <v>538</v>
      </c>
      <c r="G54" s="11" t="s">
        <v>225</v>
      </c>
      <c r="H54" s="11" t="s">
        <v>26</v>
      </c>
      <c r="I54" s="10" t="s">
        <v>26</v>
      </c>
      <c r="J54" s="11"/>
      <c r="K54" s="9" t="str">
        <f>"170,0"</f>
        <v>170,0</v>
      </c>
      <c r="L54" s="10" t="str">
        <f>"104,7965"</f>
        <v>104,7965</v>
      </c>
      <c r="M54" s="9" t="s">
        <v>539</v>
      </c>
    </row>
    <row r="55" spans="1:13">
      <c r="A55" s="12" t="s">
        <v>541</v>
      </c>
      <c r="B55" s="12" t="s">
        <v>542</v>
      </c>
      <c r="C55" s="12" t="s">
        <v>543</v>
      </c>
      <c r="D55" s="12" t="str">
        <f>"0,6177"</f>
        <v>0,6177</v>
      </c>
      <c r="E55" s="12" t="s">
        <v>32</v>
      </c>
      <c r="F55" s="12" t="s">
        <v>544</v>
      </c>
      <c r="G55" s="13" t="s">
        <v>545</v>
      </c>
      <c r="H55" s="13" t="s">
        <v>224</v>
      </c>
      <c r="I55" s="14" t="s">
        <v>26</v>
      </c>
      <c r="J55" s="14"/>
      <c r="K55" s="12" t="str">
        <f>"162,5"</f>
        <v>162,5</v>
      </c>
      <c r="L55" s="13" t="str">
        <f>"100,3762"</f>
        <v>100,3762</v>
      </c>
      <c r="M55" s="12" t="s">
        <v>27</v>
      </c>
    </row>
    <row r="56" spans="1:13">
      <c r="A56" s="12" t="s">
        <v>547</v>
      </c>
      <c r="B56" s="12" t="s">
        <v>548</v>
      </c>
      <c r="C56" s="12" t="s">
        <v>549</v>
      </c>
      <c r="D56" s="12" t="str">
        <f>"0,6173"</f>
        <v>0,6173</v>
      </c>
      <c r="E56" s="12" t="s">
        <v>32</v>
      </c>
      <c r="F56" s="12" t="s">
        <v>550</v>
      </c>
      <c r="G56" s="13" t="s">
        <v>298</v>
      </c>
      <c r="H56" s="14" t="s">
        <v>25</v>
      </c>
      <c r="I56" s="14" t="s">
        <v>25</v>
      </c>
      <c r="J56" s="14"/>
      <c r="K56" s="12" t="str">
        <f>"152,5"</f>
        <v>152,5</v>
      </c>
      <c r="L56" s="13" t="str">
        <f>"94,1382"</f>
        <v>94,1382</v>
      </c>
      <c r="M56" s="12" t="s">
        <v>27</v>
      </c>
    </row>
    <row r="57" spans="1:13">
      <c r="A57" s="12" t="s">
        <v>552</v>
      </c>
      <c r="B57" s="12" t="s">
        <v>553</v>
      </c>
      <c r="C57" s="12" t="s">
        <v>554</v>
      </c>
      <c r="D57" s="12" t="str">
        <f>"0,6416"</f>
        <v>0,6416</v>
      </c>
      <c r="E57" s="12" t="s">
        <v>32</v>
      </c>
      <c r="F57" s="12" t="s">
        <v>19</v>
      </c>
      <c r="G57" s="13" t="s">
        <v>513</v>
      </c>
      <c r="H57" s="14" t="s">
        <v>85</v>
      </c>
      <c r="I57" s="13" t="s">
        <v>85</v>
      </c>
      <c r="J57" s="14"/>
      <c r="K57" s="12" t="str">
        <f>"142,5"</f>
        <v>142,5</v>
      </c>
      <c r="L57" s="13" t="str">
        <f>"91,4280"</f>
        <v>91,4280</v>
      </c>
      <c r="M57" s="12" t="s">
        <v>27</v>
      </c>
    </row>
    <row r="58" spans="1:13">
      <c r="A58" s="12" t="s">
        <v>555</v>
      </c>
      <c r="B58" s="12" t="s">
        <v>556</v>
      </c>
      <c r="C58" s="12" t="s">
        <v>557</v>
      </c>
      <c r="D58" s="12" t="str">
        <f>"0,6169"</f>
        <v>0,6169</v>
      </c>
      <c r="E58" s="12" t="s">
        <v>32</v>
      </c>
      <c r="F58" s="12" t="s">
        <v>19</v>
      </c>
      <c r="G58" s="14" t="s">
        <v>35</v>
      </c>
      <c r="H58" s="13" t="s">
        <v>35</v>
      </c>
      <c r="I58" s="13" t="s">
        <v>20</v>
      </c>
      <c r="J58" s="14"/>
      <c r="K58" s="12" t="str">
        <f>"130,0"</f>
        <v>130,0</v>
      </c>
      <c r="L58" s="13" t="str">
        <f>"80,1905"</f>
        <v>80,1905</v>
      </c>
      <c r="M58" s="12" t="s">
        <v>27</v>
      </c>
    </row>
    <row r="59" spans="1:13">
      <c r="A59" s="12" t="s">
        <v>558</v>
      </c>
      <c r="B59" s="12" t="s">
        <v>559</v>
      </c>
      <c r="C59" s="12" t="s">
        <v>560</v>
      </c>
      <c r="D59" s="12" t="str">
        <f>"0,6373"</f>
        <v>0,6373</v>
      </c>
      <c r="E59" s="12" t="s">
        <v>32</v>
      </c>
      <c r="F59" s="12" t="s">
        <v>19</v>
      </c>
      <c r="G59" s="14" t="s">
        <v>513</v>
      </c>
      <c r="H59" s="14" t="s">
        <v>513</v>
      </c>
      <c r="I59" s="14" t="s">
        <v>513</v>
      </c>
      <c r="J59" s="14"/>
      <c r="K59" s="12" t="str">
        <f>"0.00"</f>
        <v>0.00</v>
      </c>
      <c r="L59" s="13" t="str">
        <f>"0,0000"</f>
        <v>0,0000</v>
      </c>
      <c r="M59" s="12" t="s">
        <v>27</v>
      </c>
    </row>
    <row r="60" spans="1:13">
      <c r="A60" s="12" t="s">
        <v>562</v>
      </c>
      <c r="B60" s="12" t="s">
        <v>563</v>
      </c>
      <c r="C60" s="12" t="s">
        <v>564</v>
      </c>
      <c r="D60" s="12" t="str">
        <f>"0,6145"</f>
        <v>0,6145</v>
      </c>
      <c r="E60" s="12" t="s">
        <v>32</v>
      </c>
      <c r="F60" s="12" t="s">
        <v>19</v>
      </c>
      <c r="G60" s="14" t="s">
        <v>21</v>
      </c>
      <c r="H60" s="14" t="s">
        <v>21</v>
      </c>
      <c r="I60" s="14" t="s">
        <v>21</v>
      </c>
      <c r="J60" s="14"/>
      <c r="K60" s="12" t="str">
        <f>"0.00"</f>
        <v>0.00</v>
      </c>
      <c r="L60" s="13" t="str">
        <f>"0,0000"</f>
        <v>0,0000</v>
      </c>
      <c r="M60" s="12" t="s">
        <v>27</v>
      </c>
    </row>
    <row r="61" spans="1:13">
      <c r="A61" s="12" t="s">
        <v>566</v>
      </c>
      <c r="B61" s="34" t="s">
        <v>997</v>
      </c>
      <c r="C61" s="12" t="s">
        <v>567</v>
      </c>
      <c r="D61" s="12" t="str">
        <f>"0,6130"</f>
        <v>0,6130</v>
      </c>
      <c r="E61" s="12" t="s">
        <v>32</v>
      </c>
      <c r="F61" s="12" t="s">
        <v>19</v>
      </c>
      <c r="G61" s="13" t="s">
        <v>147</v>
      </c>
      <c r="H61" s="13" t="s">
        <v>298</v>
      </c>
      <c r="I61" s="14" t="s">
        <v>25</v>
      </c>
      <c r="J61" s="14"/>
      <c r="K61" s="12" t="str">
        <f>"152,5"</f>
        <v>152,5</v>
      </c>
      <c r="L61" s="13" t="str">
        <f>"108,9071"</f>
        <v>108,9071</v>
      </c>
      <c r="M61" s="12" t="s">
        <v>27</v>
      </c>
    </row>
    <row r="62" spans="1:13">
      <c r="A62" s="15" t="s">
        <v>569</v>
      </c>
      <c r="B62" s="32" t="s">
        <v>996</v>
      </c>
      <c r="C62" s="15" t="s">
        <v>564</v>
      </c>
      <c r="D62" s="15" t="str">
        <f>"0,6145"</f>
        <v>0,6145</v>
      </c>
      <c r="E62" s="15" t="s">
        <v>32</v>
      </c>
      <c r="F62" s="15" t="s">
        <v>570</v>
      </c>
      <c r="G62" s="17" t="s">
        <v>462</v>
      </c>
      <c r="H62" s="16" t="s">
        <v>84</v>
      </c>
      <c r="I62" s="16" t="s">
        <v>84</v>
      </c>
      <c r="J62" s="16"/>
      <c r="K62" s="15" t="str">
        <f>"127,5"</f>
        <v>127,5</v>
      </c>
      <c r="L62" s="17" t="str">
        <f>"103,0370"</f>
        <v>103,0370</v>
      </c>
      <c r="M62" s="15" t="s">
        <v>27</v>
      </c>
    </row>
    <row r="64" spans="1:13" ht="15">
      <c r="A64" s="48" t="s">
        <v>46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3">
      <c r="A65" s="9" t="s">
        <v>572</v>
      </c>
      <c r="B65" s="9" t="s">
        <v>573</v>
      </c>
      <c r="C65" s="9" t="s">
        <v>574</v>
      </c>
      <c r="D65" s="9" t="str">
        <f>"0,6040"</f>
        <v>0,6040</v>
      </c>
      <c r="E65" s="9" t="s">
        <v>32</v>
      </c>
      <c r="F65" s="9" t="s">
        <v>19</v>
      </c>
      <c r="G65" s="10" t="s">
        <v>173</v>
      </c>
      <c r="H65" s="10" t="s">
        <v>174</v>
      </c>
      <c r="I65" s="11" t="s">
        <v>175</v>
      </c>
      <c r="J65" s="11"/>
      <c r="K65" s="9" t="str">
        <f>"105,0"</f>
        <v>105,0</v>
      </c>
      <c r="L65" s="10" t="str">
        <f>"63,4200"</f>
        <v>63,4200</v>
      </c>
      <c r="M65" s="9" t="s">
        <v>27</v>
      </c>
    </row>
    <row r="66" spans="1:13">
      <c r="A66" s="12" t="s">
        <v>331</v>
      </c>
      <c r="B66" s="12" t="s">
        <v>332</v>
      </c>
      <c r="C66" s="12" t="s">
        <v>50</v>
      </c>
      <c r="D66" s="12" t="str">
        <f>"0,5871"</f>
        <v>0,5871</v>
      </c>
      <c r="E66" s="12" t="s">
        <v>32</v>
      </c>
      <c r="F66" s="12" t="s">
        <v>19</v>
      </c>
      <c r="G66" s="13" t="s">
        <v>175</v>
      </c>
      <c r="H66" s="13" t="s">
        <v>45</v>
      </c>
      <c r="I66" s="14" t="s">
        <v>35</v>
      </c>
      <c r="J66" s="14"/>
      <c r="K66" s="12" t="str">
        <f>"115,0"</f>
        <v>115,0</v>
      </c>
      <c r="L66" s="13" t="str">
        <f>"67,5222"</f>
        <v>67,5222</v>
      </c>
      <c r="M66" s="12" t="s">
        <v>27</v>
      </c>
    </row>
    <row r="67" spans="1:13">
      <c r="A67" s="12" t="s">
        <v>576</v>
      </c>
      <c r="B67" s="12" t="s">
        <v>577</v>
      </c>
      <c r="C67" s="12" t="s">
        <v>578</v>
      </c>
      <c r="D67" s="12" t="str">
        <f>"0,5905"</f>
        <v>0,5905</v>
      </c>
      <c r="E67" s="12" t="s">
        <v>32</v>
      </c>
      <c r="F67" s="12" t="s">
        <v>19</v>
      </c>
      <c r="G67" s="14" t="s">
        <v>208</v>
      </c>
      <c r="H67" s="14" t="s">
        <v>208</v>
      </c>
      <c r="I67" s="13" t="s">
        <v>208</v>
      </c>
      <c r="J67" s="14"/>
      <c r="K67" s="12" t="str">
        <f>"185,0"</f>
        <v>185,0</v>
      </c>
      <c r="L67" s="13" t="str">
        <f>"109,2425"</f>
        <v>109,2425</v>
      </c>
      <c r="M67" s="12" t="s">
        <v>27</v>
      </c>
    </row>
    <row r="68" spans="1:13">
      <c r="A68" s="12" t="s">
        <v>580</v>
      </c>
      <c r="B68" s="12" t="s">
        <v>581</v>
      </c>
      <c r="C68" s="12" t="s">
        <v>582</v>
      </c>
      <c r="D68" s="12" t="str">
        <f>"0,5894"</f>
        <v>0,5894</v>
      </c>
      <c r="E68" s="12" t="s">
        <v>32</v>
      </c>
      <c r="F68" s="12" t="s">
        <v>583</v>
      </c>
      <c r="G68" s="13" t="s">
        <v>26</v>
      </c>
      <c r="H68" s="14" t="s">
        <v>56</v>
      </c>
      <c r="I68" s="13" t="s">
        <v>56</v>
      </c>
      <c r="J68" s="14"/>
      <c r="K68" s="12" t="str">
        <f>"175,0"</f>
        <v>175,0</v>
      </c>
      <c r="L68" s="13" t="str">
        <f>"103,1450"</f>
        <v>103,1450</v>
      </c>
      <c r="M68" s="12" t="s">
        <v>27</v>
      </c>
    </row>
    <row r="69" spans="1:13">
      <c r="A69" s="12" t="s">
        <v>585</v>
      </c>
      <c r="B69" s="12" t="s">
        <v>586</v>
      </c>
      <c r="C69" s="12" t="s">
        <v>50</v>
      </c>
      <c r="D69" s="12" t="str">
        <f>"0,5871"</f>
        <v>0,5871</v>
      </c>
      <c r="E69" s="12" t="s">
        <v>587</v>
      </c>
      <c r="F69" s="12" t="s">
        <v>19</v>
      </c>
      <c r="G69" s="13" t="s">
        <v>21</v>
      </c>
      <c r="H69" s="13" t="s">
        <v>44</v>
      </c>
      <c r="I69" s="13" t="s">
        <v>148</v>
      </c>
      <c r="J69" s="14"/>
      <c r="K69" s="12" t="str">
        <f>"155,0"</f>
        <v>155,0</v>
      </c>
      <c r="L69" s="13" t="str">
        <f>"91,0082"</f>
        <v>91,0082</v>
      </c>
      <c r="M69" s="12" t="s">
        <v>27</v>
      </c>
    </row>
    <row r="70" spans="1:13">
      <c r="A70" s="12" t="s">
        <v>589</v>
      </c>
      <c r="B70" s="12" t="s">
        <v>590</v>
      </c>
      <c r="C70" s="12" t="s">
        <v>591</v>
      </c>
      <c r="D70" s="12" t="str">
        <f>"0,5825"</f>
        <v>0,5825</v>
      </c>
      <c r="E70" s="12" t="s">
        <v>32</v>
      </c>
      <c r="F70" s="12" t="s">
        <v>19</v>
      </c>
      <c r="G70" s="14" t="s">
        <v>21</v>
      </c>
      <c r="H70" s="13" t="s">
        <v>147</v>
      </c>
      <c r="I70" s="13" t="s">
        <v>148</v>
      </c>
      <c r="J70" s="14"/>
      <c r="K70" s="12" t="str">
        <f>"155,0"</f>
        <v>155,0</v>
      </c>
      <c r="L70" s="13" t="str">
        <f>"90,2952"</f>
        <v>90,2952</v>
      </c>
      <c r="M70" s="12" t="s">
        <v>27</v>
      </c>
    </row>
    <row r="71" spans="1:13">
      <c r="A71" s="12" t="s">
        <v>592</v>
      </c>
      <c r="B71" s="12" t="s">
        <v>397</v>
      </c>
      <c r="C71" s="12" t="s">
        <v>398</v>
      </c>
      <c r="D71" s="12" t="str">
        <f>"0,5911"</f>
        <v>0,5911</v>
      </c>
      <c r="E71" s="12" t="s">
        <v>32</v>
      </c>
      <c r="F71" s="12" t="s">
        <v>19</v>
      </c>
      <c r="G71" s="13" t="s">
        <v>35</v>
      </c>
      <c r="H71" s="13" t="s">
        <v>513</v>
      </c>
      <c r="I71" s="13" t="s">
        <v>21</v>
      </c>
      <c r="J71" s="14"/>
      <c r="K71" s="12" t="str">
        <f>"140,0"</f>
        <v>140,0</v>
      </c>
      <c r="L71" s="13" t="str">
        <f>"82,7540"</f>
        <v>82,7540</v>
      </c>
      <c r="M71" s="12" t="s">
        <v>27</v>
      </c>
    </row>
    <row r="72" spans="1:13">
      <c r="A72" s="12" t="s">
        <v>593</v>
      </c>
      <c r="B72" s="12" t="s">
        <v>594</v>
      </c>
      <c r="C72" s="12" t="s">
        <v>595</v>
      </c>
      <c r="D72" s="12" t="str">
        <f>"0,5961"</f>
        <v>0,5961</v>
      </c>
      <c r="E72" s="12" t="s">
        <v>32</v>
      </c>
      <c r="F72" s="12" t="s">
        <v>19</v>
      </c>
      <c r="G72" s="13" t="s">
        <v>175</v>
      </c>
      <c r="H72" s="13" t="s">
        <v>35</v>
      </c>
      <c r="I72" s="14" t="s">
        <v>36</v>
      </c>
      <c r="J72" s="14"/>
      <c r="K72" s="12" t="str">
        <f>"120,0"</f>
        <v>120,0</v>
      </c>
      <c r="L72" s="13" t="str">
        <f>"71,5380"</f>
        <v>71,5380</v>
      </c>
      <c r="M72" s="12" t="s">
        <v>27</v>
      </c>
    </row>
    <row r="73" spans="1:13">
      <c r="A73" s="12" t="s">
        <v>597</v>
      </c>
      <c r="B73" s="12" t="s">
        <v>598</v>
      </c>
      <c r="C73" s="12" t="s">
        <v>599</v>
      </c>
      <c r="D73" s="12" t="str">
        <f>"0,5914"</f>
        <v>0,5914</v>
      </c>
      <c r="E73" s="12" t="s">
        <v>32</v>
      </c>
      <c r="F73" s="12" t="s">
        <v>19</v>
      </c>
      <c r="G73" s="14" t="s">
        <v>84</v>
      </c>
      <c r="H73" s="14" t="s">
        <v>84</v>
      </c>
      <c r="I73" s="14" t="s">
        <v>84</v>
      </c>
      <c r="J73" s="14"/>
      <c r="K73" s="12" t="str">
        <f>"0.00"</f>
        <v>0.00</v>
      </c>
      <c r="L73" s="13" t="str">
        <f>"0,0000"</f>
        <v>0,0000</v>
      </c>
      <c r="M73" s="12" t="s">
        <v>27</v>
      </c>
    </row>
    <row r="74" spans="1:13">
      <c r="A74" s="12" t="s">
        <v>601</v>
      </c>
      <c r="B74" s="34" t="s">
        <v>998</v>
      </c>
      <c r="C74" s="12" t="s">
        <v>50</v>
      </c>
      <c r="D74" s="12" t="str">
        <f>"0,5871"</f>
        <v>0,5871</v>
      </c>
      <c r="E74" s="12" t="s">
        <v>32</v>
      </c>
      <c r="F74" s="12" t="s">
        <v>19</v>
      </c>
      <c r="G74" s="14" t="s">
        <v>173</v>
      </c>
      <c r="H74" s="13" t="s">
        <v>175</v>
      </c>
      <c r="I74" s="14" t="s">
        <v>35</v>
      </c>
      <c r="J74" s="14"/>
      <c r="K74" s="12" t="str">
        <f>"110,0"</f>
        <v>110,0</v>
      </c>
      <c r="L74" s="13" t="str">
        <f>"68,9784"</f>
        <v>68,9784</v>
      </c>
      <c r="M74" s="12" t="s">
        <v>27</v>
      </c>
    </row>
    <row r="75" spans="1:13">
      <c r="A75" s="15" t="s">
        <v>603</v>
      </c>
      <c r="B75" s="32" t="s">
        <v>999</v>
      </c>
      <c r="C75" s="15" t="s">
        <v>604</v>
      </c>
      <c r="D75" s="15" t="str">
        <f>"0,5990"</f>
        <v>0,5990</v>
      </c>
      <c r="E75" s="15" t="s">
        <v>32</v>
      </c>
      <c r="F75" s="15" t="s">
        <v>19</v>
      </c>
      <c r="G75" s="17" t="s">
        <v>293</v>
      </c>
      <c r="H75" s="16" t="s">
        <v>486</v>
      </c>
      <c r="I75" s="16" t="s">
        <v>486</v>
      </c>
      <c r="J75" s="16"/>
      <c r="K75" s="15" t="str">
        <f>"117,5"</f>
        <v>117,5</v>
      </c>
      <c r="L75" s="17" t="str">
        <f>"96,1425"</f>
        <v>96,1425</v>
      </c>
      <c r="M75" s="15" t="s">
        <v>27</v>
      </c>
    </row>
    <row r="77" spans="1:13" ht="15">
      <c r="A77" s="48" t="s">
        <v>71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3">
      <c r="A78" s="9" t="s">
        <v>606</v>
      </c>
      <c r="B78" s="9" t="s">
        <v>607</v>
      </c>
      <c r="C78" s="9" t="s">
        <v>608</v>
      </c>
      <c r="D78" s="9" t="str">
        <f>"0,5648"</f>
        <v>0,5648</v>
      </c>
      <c r="E78" s="9" t="s">
        <v>32</v>
      </c>
      <c r="F78" s="9" t="s">
        <v>19</v>
      </c>
      <c r="G78" s="10" t="s">
        <v>26</v>
      </c>
      <c r="H78" s="10" t="s">
        <v>208</v>
      </c>
      <c r="I78" s="11" t="s">
        <v>33</v>
      </c>
      <c r="J78" s="11"/>
      <c r="K78" s="9" t="str">
        <f>"185,0"</f>
        <v>185,0</v>
      </c>
      <c r="L78" s="10" t="str">
        <f>"104,4972"</f>
        <v>104,4972</v>
      </c>
      <c r="M78" s="9" t="s">
        <v>27</v>
      </c>
    </row>
    <row r="79" spans="1:13">
      <c r="A79" s="12" t="s">
        <v>610</v>
      </c>
      <c r="B79" s="12" t="s">
        <v>611</v>
      </c>
      <c r="C79" s="12" t="s">
        <v>612</v>
      </c>
      <c r="D79" s="12" t="str">
        <f>"0,5650"</f>
        <v>0,5650</v>
      </c>
      <c r="E79" s="12" t="s">
        <v>18</v>
      </c>
      <c r="F79" s="12" t="s">
        <v>613</v>
      </c>
      <c r="G79" s="13" t="s">
        <v>25</v>
      </c>
      <c r="H79" s="14" t="s">
        <v>225</v>
      </c>
      <c r="I79" s="14"/>
      <c r="J79" s="14"/>
      <c r="K79" s="12" t="str">
        <f>"160,0"</f>
        <v>160,0</v>
      </c>
      <c r="L79" s="13" t="str">
        <f>"90,4000"</f>
        <v>90,4000</v>
      </c>
      <c r="M79" s="12" t="s">
        <v>27</v>
      </c>
    </row>
    <row r="80" spans="1:13">
      <c r="A80" s="15" t="s">
        <v>615</v>
      </c>
      <c r="B80" s="32" t="s">
        <v>1000</v>
      </c>
      <c r="C80" s="15" t="s">
        <v>616</v>
      </c>
      <c r="D80" s="15" t="str">
        <f>"0,5658"</f>
        <v>0,5658</v>
      </c>
      <c r="E80" s="15" t="s">
        <v>18</v>
      </c>
      <c r="F80" s="15" t="s">
        <v>19</v>
      </c>
      <c r="G80" s="16" t="s">
        <v>225</v>
      </c>
      <c r="H80" s="17" t="s">
        <v>225</v>
      </c>
      <c r="I80" s="16"/>
      <c r="J80" s="16"/>
      <c r="K80" s="15" t="str">
        <f>"167,5"</f>
        <v>167,5</v>
      </c>
      <c r="L80" s="17" t="str">
        <f>"105,4807"</f>
        <v>105,4807</v>
      </c>
      <c r="M80" s="15" t="s">
        <v>27</v>
      </c>
    </row>
    <row r="82" spans="1:13" ht="15">
      <c r="A82" s="48" t="s">
        <v>77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1:13">
      <c r="A83" s="9" t="s">
        <v>618</v>
      </c>
      <c r="B83" s="9" t="s">
        <v>619</v>
      </c>
      <c r="C83" s="9" t="s">
        <v>620</v>
      </c>
      <c r="D83" s="9" t="str">
        <f>"0,5545"</f>
        <v>0,5545</v>
      </c>
      <c r="E83" s="9" t="s">
        <v>32</v>
      </c>
      <c r="F83" s="9" t="s">
        <v>19</v>
      </c>
      <c r="G83" s="10" t="s">
        <v>225</v>
      </c>
      <c r="H83" s="11" t="s">
        <v>151</v>
      </c>
      <c r="I83" s="11" t="s">
        <v>151</v>
      </c>
      <c r="J83" s="11"/>
      <c r="K83" s="9" t="str">
        <f>"167,5"</f>
        <v>167,5</v>
      </c>
      <c r="L83" s="10" t="str">
        <f>"92,8787"</f>
        <v>92,8787</v>
      </c>
      <c r="M83" s="9" t="s">
        <v>27</v>
      </c>
    </row>
    <row r="84" spans="1:13">
      <c r="A84" s="12" t="s">
        <v>622</v>
      </c>
      <c r="B84" s="34" t="s">
        <v>1001</v>
      </c>
      <c r="C84" s="12" t="s">
        <v>623</v>
      </c>
      <c r="D84" s="12" t="str">
        <f>"0,5530"</f>
        <v>0,5530</v>
      </c>
      <c r="E84" s="12" t="s">
        <v>624</v>
      </c>
      <c r="F84" s="12" t="s">
        <v>19</v>
      </c>
      <c r="G84" s="13" t="s">
        <v>26</v>
      </c>
      <c r="H84" s="14" t="s">
        <v>83</v>
      </c>
      <c r="I84" s="14" t="s">
        <v>83</v>
      </c>
      <c r="J84" s="14"/>
      <c r="K84" s="12" t="str">
        <f>"170,0"</f>
        <v>170,0</v>
      </c>
      <c r="L84" s="13" t="str">
        <f>"104,6331"</f>
        <v>104,6331</v>
      </c>
      <c r="M84" s="12" t="s">
        <v>27</v>
      </c>
    </row>
    <row r="85" spans="1:13">
      <c r="A85" s="15" t="s">
        <v>626</v>
      </c>
      <c r="B85" s="32" t="s">
        <v>1002</v>
      </c>
      <c r="C85" s="15" t="s">
        <v>627</v>
      </c>
      <c r="D85" s="15" t="str">
        <f>"0,5459"</f>
        <v>0,5459</v>
      </c>
      <c r="E85" s="15" t="s">
        <v>624</v>
      </c>
      <c r="F85" s="15" t="s">
        <v>19</v>
      </c>
      <c r="G85" s="17" t="s">
        <v>25</v>
      </c>
      <c r="H85" s="17" t="s">
        <v>187</v>
      </c>
      <c r="I85" s="16" t="s">
        <v>26</v>
      </c>
      <c r="J85" s="16"/>
      <c r="K85" s="15" t="str">
        <f>"165,0"</f>
        <v>165,0</v>
      </c>
      <c r="L85" s="17" t="str">
        <f>"110,3400"</f>
        <v>110,3400</v>
      </c>
      <c r="M85" s="15" t="s">
        <v>27</v>
      </c>
    </row>
    <row r="87" spans="1:13" ht="15">
      <c r="E87" s="18" t="s">
        <v>86</v>
      </c>
    </row>
    <row r="88" spans="1:13" ht="15">
      <c r="E88" s="18" t="s">
        <v>87</v>
      </c>
    </row>
    <row r="89" spans="1:13" ht="15">
      <c r="E89" s="18" t="s">
        <v>88</v>
      </c>
    </row>
    <row r="90" spans="1:13" ht="15">
      <c r="E90" s="18" t="s">
        <v>89</v>
      </c>
    </row>
    <row r="91" spans="1:13" ht="15">
      <c r="E91" s="18" t="s">
        <v>89</v>
      </c>
    </row>
    <row r="92" spans="1:13" ht="15">
      <c r="E92" s="18" t="s">
        <v>90</v>
      </c>
    </row>
    <row r="93" spans="1:13" ht="15">
      <c r="E93" s="18"/>
    </row>
    <row r="95" spans="1:13" ht="18">
      <c r="A95" s="19" t="s">
        <v>91</v>
      </c>
      <c r="B95" s="19"/>
    </row>
    <row r="96" spans="1:13" ht="15">
      <c r="A96" s="20" t="s">
        <v>92</v>
      </c>
      <c r="B96" s="20"/>
    </row>
    <row r="97" spans="1:5" ht="14.25">
      <c r="A97" s="22"/>
      <c r="B97" s="23" t="s">
        <v>628</v>
      </c>
    </row>
    <row r="98" spans="1:5" ht="15">
      <c r="A98" s="24" t="s">
        <v>94</v>
      </c>
      <c r="B98" s="24" t="s">
        <v>95</v>
      </c>
      <c r="C98" s="24" t="s">
        <v>96</v>
      </c>
      <c r="D98" s="24" t="s">
        <v>97</v>
      </c>
      <c r="E98" s="24" t="s">
        <v>98</v>
      </c>
    </row>
    <row r="99" spans="1:5">
      <c r="A99" s="21" t="s">
        <v>414</v>
      </c>
      <c r="B99" s="4" t="s">
        <v>356</v>
      </c>
      <c r="C99" s="4" t="s">
        <v>348</v>
      </c>
      <c r="D99" s="4" t="s">
        <v>130</v>
      </c>
      <c r="E99" s="25" t="s">
        <v>629</v>
      </c>
    </row>
    <row r="101" spans="1:5" ht="14.25">
      <c r="A101" s="22"/>
      <c r="B101" s="23" t="s">
        <v>150</v>
      </c>
    </row>
    <row r="102" spans="1:5" ht="15">
      <c r="A102" s="24" t="s">
        <v>94</v>
      </c>
      <c r="B102" s="24" t="s">
        <v>95</v>
      </c>
      <c r="C102" s="24" t="s">
        <v>96</v>
      </c>
      <c r="D102" s="24" t="s">
        <v>97</v>
      </c>
      <c r="E102" s="24" t="s">
        <v>98</v>
      </c>
    </row>
    <row r="103" spans="1:5">
      <c r="A103" s="21" t="s">
        <v>430</v>
      </c>
      <c r="B103" s="4" t="s">
        <v>104</v>
      </c>
      <c r="C103" s="4" t="s">
        <v>99</v>
      </c>
      <c r="D103" s="4" t="s">
        <v>168</v>
      </c>
      <c r="E103" s="25" t="s">
        <v>630</v>
      </c>
    </row>
    <row r="105" spans="1:5" ht="14.25">
      <c r="A105" s="22"/>
      <c r="B105" s="23" t="s">
        <v>93</v>
      </c>
    </row>
    <row r="106" spans="1:5" ht="15">
      <c r="A106" s="24" t="s">
        <v>94</v>
      </c>
      <c r="B106" s="24" t="s">
        <v>95</v>
      </c>
      <c r="C106" s="24" t="s">
        <v>96</v>
      </c>
      <c r="D106" s="24" t="s">
        <v>97</v>
      </c>
      <c r="E106" s="24" t="s">
        <v>98</v>
      </c>
    </row>
    <row r="107" spans="1:5">
      <c r="A107" s="21" t="s">
        <v>422</v>
      </c>
      <c r="B107" s="4" t="s">
        <v>93</v>
      </c>
      <c r="C107" s="4" t="s">
        <v>344</v>
      </c>
      <c r="D107" s="4" t="s">
        <v>174</v>
      </c>
      <c r="E107" s="25" t="s">
        <v>631</v>
      </c>
    </row>
    <row r="108" spans="1:5">
      <c r="A108" s="21" t="s">
        <v>426</v>
      </c>
      <c r="B108" s="4" t="s">
        <v>93</v>
      </c>
      <c r="C108" s="4" t="s">
        <v>344</v>
      </c>
      <c r="D108" s="4" t="s">
        <v>291</v>
      </c>
      <c r="E108" s="25" t="s">
        <v>632</v>
      </c>
    </row>
    <row r="109" spans="1:5">
      <c r="A109" s="21" t="s">
        <v>418</v>
      </c>
      <c r="B109" s="4" t="s">
        <v>93</v>
      </c>
      <c r="C109" s="4" t="s">
        <v>348</v>
      </c>
      <c r="D109" s="4" t="s">
        <v>277</v>
      </c>
      <c r="E109" s="25" t="s">
        <v>633</v>
      </c>
    </row>
    <row r="110" spans="1:5">
      <c r="A110" s="21" t="s">
        <v>409</v>
      </c>
      <c r="B110" s="4" t="s">
        <v>93</v>
      </c>
      <c r="C110" s="4" t="s">
        <v>634</v>
      </c>
      <c r="D110" s="4" t="s">
        <v>276</v>
      </c>
      <c r="E110" s="25" t="s">
        <v>635</v>
      </c>
    </row>
    <row r="112" spans="1:5" ht="14.25">
      <c r="A112" s="22"/>
      <c r="B112" s="23" t="s">
        <v>1003</v>
      </c>
    </row>
    <row r="113" spans="1:5" ht="15">
      <c r="A113" s="24" t="s">
        <v>94</v>
      </c>
      <c r="B113" s="24" t="s">
        <v>95</v>
      </c>
      <c r="C113" s="24" t="s">
        <v>96</v>
      </c>
      <c r="D113" s="24" t="s">
        <v>97</v>
      </c>
      <c r="E113" s="24" t="s">
        <v>98</v>
      </c>
    </row>
    <row r="114" spans="1:5">
      <c r="A114" s="21" t="s">
        <v>434</v>
      </c>
      <c r="B114" s="36" t="s">
        <v>986</v>
      </c>
      <c r="C114" s="4" t="s">
        <v>99</v>
      </c>
      <c r="D114" s="4" t="s">
        <v>275</v>
      </c>
      <c r="E114" s="25" t="s">
        <v>636</v>
      </c>
    </row>
    <row r="117" spans="1:5" ht="15">
      <c r="A117" s="20" t="s">
        <v>102</v>
      </c>
      <c r="B117" s="20"/>
    </row>
    <row r="118" spans="1:5" ht="14.25">
      <c r="A118" s="22"/>
      <c r="B118" s="23" t="s">
        <v>355</v>
      </c>
    </row>
    <row r="119" spans="1:5" ht="15">
      <c r="A119" s="24" t="s">
        <v>94</v>
      </c>
      <c r="B119" s="24" t="s">
        <v>95</v>
      </c>
      <c r="C119" s="24" t="s">
        <v>96</v>
      </c>
      <c r="D119" s="24" t="s">
        <v>97</v>
      </c>
      <c r="E119" s="24" t="s">
        <v>98</v>
      </c>
    </row>
    <row r="120" spans="1:5">
      <c r="A120" s="21" t="s">
        <v>444</v>
      </c>
      <c r="B120" s="4" t="s">
        <v>637</v>
      </c>
      <c r="C120" s="4" t="s">
        <v>99</v>
      </c>
      <c r="D120" s="4" t="s">
        <v>293</v>
      </c>
      <c r="E120" s="25" t="s">
        <v>638</v>
      </c>
    </row>
    <row r="121" spans="1:5">
      <c r="A121" s="21" t="s">
        <v>330</v>
      </c>
      <c r="B121" s="4" t="s">
        <v>356</v>
      </c>
      <c r="C121" s="4" t="s">
        <v>108</v>
      </c>
      <c r="D121" s="4" t="s">
        <v>45</v>
      </c>
      <c r="E121" s="25" t="s">
        <v>639</v>
      </c>
    </row>
    <row r="122" spans="1:5">
      <c r="A122" s="21" t="s">
        <v>571</v>
      </c>
      <c r="B122" s="4" t="s">
        <v>637</v>
      </c>
      <c r="C122" s="4" t="s">
        <v>108</v>
      </c>
      <c r="D122" s="4" t="s">
        <v>174</v>
      </c>
      <c r="E122" s="25" t="s">
        <v>640</v>
      </c>
    </row>
    <row r="123" spans="1:5">
      <c r="A123" s="21" t="s">
        <v>500</v>
      </c>
      <c r="B123" s="4" t="s">
        <v>637</v>
      </c>
      <c r="C123" s="4" t="s">
        <v>121</v>
      </c>
      <c r="D123" s="4" t="s">
        <v>167</v>
      </c>
      <c r="E123" s="25" t="s">
        <v>641</v>
      </c>
    </row>
    <row r="125" spans="1:5" ht="14.25">
      <c r="A125" s="22"/>
      <c r="B125" s="23" t="s">
        <v>103</v>
      </c>
    </row>
    <row r="126" spans="1:5" ht="15">
      <c r="A126" s="24" t="s">
        <v>94</v>
      </c>
      <c r="B126" s="24" t="s">
        <v>95</v>
      </c>
      <c r="C126" s="24" t="s">
        <v>96</v>
      </c>
      <c r="D126" s="24" t="s">
        <v>97</v>
      </c>
      <c r="E126" s="24" t="s">
        <v>98</v>
      </c>
    </row>
    <row r="127" spans="1:5">
      <c r="A127" s="21" t="s">
        <v>447</v>
      </c>
      <c r="B127" s="4" t="s">
        <v>104</v>
      </c>
      <c r="C127" s="4" t="s">
        <v>99</v>
      </c>
      <c r="D127" s="4" t="s">
        <v>182</v>
      </c>
      <c r="E127" s="25" t="s">
        <v>642</v>
      </c>
    </row>
    <row r="128" spans="1:5">
      <c r="A128" s="21" t="s">
        <v>469</v>
      </c>
      <c r="B128" s="4" t="s">
        <v>104</v>
      </c>
      <c r="C128" s="4" t="s">
        <v>230</v>
      </c>
      <c r="D128" s="4" t="s">
        <v>293</v>
      </c>
      <c r="E128" s="25" t="s">
        <v>643</v>
      </c>
    </row>
    <row r="130" spans="1:5" ht="14.25">
      <c r="A130" s="22"/>
      <c r="B130" s="23" t="s">
        <v>93</v>
      </c>
    </row>
    <row r="131" spans="1:5" ht="15">
      <c r="A131" s="24" t="s">
        <v>94</v>
      </c>
      <c r="B131" s="24" t="s">
        <v>95</v>
      </c>
      <c r="C131" s="24" t="s">
        <v>96</v>
      </c>
      <c r="D131" s="24" t="s">
        <v>97</v>
      </c>
      <c r="E131" s="24" t="s">
        <v>98</v>
      </c>
    </row>
    <row r="132" spans="1:5">
      <c r="A132" s="21" t="s">
        <v>437</v>
      </c>
      <c r="B132" s="4" t="s">
        <v>93</v>
      </c>
      <c r="C132" s="4" t="s">
        <v>344</v>
      </c>
      <c r="D132" s="4" t="s">
        <v>20</v>
      </c>
      <c r="E132" s="25" t="s">
        <v>644</v>
      </c>
    </row>
    <row r="133" spans="1:5">
      <c r="A133" s="21" t="s">
        <v>575</v>
      </c>
      <c r="B133" s="4" t="s">
        <v>93</v>
      </c>
      <c r="C133" s="4" t="s">
        <v>108</v>
      </c>
      <c r="D133" s="4" t="s">
        <v>208</v>
      </c>
      <c r="E133" s="25" t="s">
        <v>645</v>
      </c>
    </row>
    <row r="134" spans="1:5">
      <c r="A134" s="21" t="s">
        <v>534</v>
      </c>
      <c r="B134" s="4" t="s">
        <v>93</v>
      </c>
      <c r="C134" s="4" t="s">
        <v>105</v>
      </c>
      <c r="D134" s="4" t="s">
        <v>26</v>
      </c>
      <c r="E134" s="25" t="s">
        <v>646</v>
      </c>
    </row>
    <row r="135" spans="1:5">
      <c r="A135" s="21" t="s">
        <v>605</v>
      </c>
      <c r="B135" s="4" t="s">
        <v>93</v>
      </c>
      <c r="C135" s="4" t="s">
        <v>111</v>
      </c>
      <c r="D135" s="4" t="s">
        <v>208</v>
      </c>
      <c r="E135" s="25" t="s">
        <v>647</v>
      </c>
    </row>
    <row r="136" spans="1:5">
      <c r="A136" s="21" t="s">
        <v>454</v>
      </c>
      <c r="B136" s="4" t="s">
        <v>93</v>
      </c>
      <c r="C136" s="4" t="s">
        <v>99</v>
      </c>
      <c r="D136" s="4" t="s">
        <v>20</v>
      </c>
      <c r="E136" s="25" t="s">
        <v>648</v>
      </c>
    </row>
    <row r="137" spans="1:5">
      <c r="A137" s="21" t="s">
        <v>579</v>
      </c>
      <c r="B137" s="4" t="s">
        <v>93</v>
      </c>
      <c r="C137" s="4" t="s">
        <v>108</v>
      </c>
      <c r="D137" s="4" t="s">
        <v>56</v>
      </c>
      <c r="E137" s="25" t="s">
        <v>649</v>
      </c>
    </row>
    <row r="138" spans="1:5">
      <c r="A138" s="21" t="s">
        <v>451</v>
      </c>
      <c r="B138" s="4" t="s">
        <v>93</v>
      </c>
      <c r="C138" s="4" t="s">
        <v>99</v>
      </c>
      <c r="D138" s="4" t="s">
        <v>84</v>
      </c>
      <c r="E138" s="25" t="s">
        <v>650</v>
      </c>
    </row>
    <row r="139" spans="1:5">
      <c r="A139" s="21" t="s">
        <v>540</v>
      </c>
      <c r="B139" s="4" t="s">
        <v>93</v>
      </c>
      <c r="C139" s="4" t="s">
        <v>105</v>
      </c>
      <c r="D139" s="4" t="s">
        <v>224</v>
      </c>
      <c r="E139" s="25" t="s">
        <v>651</v>
      </c>
    </row>
    <row r="140" spans="1:5">
      <c r="A140" s="21" t="s">
        <v>458</v>
      </c>
      <c r="B140" s="4" t="s">
        <v>93</v>
      </c>
      <c r="C140" s="4" t="s">
        <v>99</v>
      </c>
      <c r="D140" s="4" t="s">
        <v>20</v>
      </c>
      <c r="E140" s="25" t="s">
        <v>652</v>
      </c>
    </row>
    <row r="141" spans="1:5">
      <c r="A141" s="21" t="s">
        <v>474</v>
      </c>
      <c r="B141" s="4" t="s">
        <v>93</v>
      </c>
      <c r="C141" s="4" t="s">
        <v>230</v>
      </c>
      <c r="D141" s="4" t="s">
        <v>84</v>
      </c>
      <c r="E141" s="25" t="s">
        <v>653</v>
      </c>
    </row>
    <row r="142" spans="1:5">
      <c r="A142" s="21" t="s">
        <v>504</v>
      </c>
      <c r="B142" s="4" t="s">
        <v>93</v>
      </c>
      <c r="C142" s="4" t="s">
        <v>121</v>
      </c>
      <c r="D142" s="4" t="s">
        <v>85</v>
      </c>
      <c r="E142" s="25" t="s">
        <v>654</v>
      </c>
    </row>
    <row r="143" spans="1:5">
      <c r="A143" s="21" t="s">
        <v>546</v>
      </c>
      <c r="B143" s="4" t="s">
        <v>93</v>
      </c>
      <c r="C143" s="4" t="s">
        <v>105</v>
      </c>
      <c r="D143" s="4" t="s">
        <v>298</v>
      </c>
      <c r="E143" s="25" t="s">
        <v>655</v>
      </c>
    </row>
    <row r="144" spans="1:5">
      <c r="A144" s="21" t="s">
        <v>617</v>
      </c>
      <c r="B144" s="4" t="s">
        <v>93</v>
      </c>
      <c r="C144" s="4" t="s">
        <v>118</v>
      </c>
      <c r="D144" s="4" t="s">
        <v>225</v>
      </c>
      <c r="E144" s="25" t="s">
        <v>656</v>
      </c>
    </row>
    <row r="145" spans="1:5">
      <c r="A145" s="21" t="s">
        <v>551</v>
      </c>
      <c r="B145" s="4" t="s">
        <v>93</v>
      </c>
      <c r="C145" s="4" t="s">
        <v>105</v>
      </c>
      <c r="D145" s="4" t="s">
        <v>85</v>
      </c>
      <c r="E145" s="25" t="s">
        <v>657</v>
      </c>
    </row>
    <row r="146" spans="1:5">
      <c r="A146" s="21" t="s">
        <v>584</v>
      </c>
      <c r="B146" s="4" t="s">
        <v>93</v>
      </c>
      <c r="C146" s="4" t="s">
        <v>108</v>
      </c>
      <c r="D146" s="4" t="s">
        <v>148</v>
      </c>
      <c r="E146" s="25" t="s">
        <v>658</v>
      </c>
    </row>
    <row r="147" spans="1:5">
      <c r="A147" s="21" t="s">
        <v>609</v>
      </c>
      <c r="B147" s="4" t="s">
        <v>93</v>
      </c>
      <c r="C147" s="4" t="s">
        <v>111</v>
      </c>
      <c r="D147" s="4" t="s">
        <v>25</v>
      </c>
      <c r="E147" s="25" t="s">
        <v>659</v>
      </c>
    </row>
    <row r="148" spans="1:5">
      <c r="A148" s="21" t="s">
        <v>588</v>
      </c>
      <c r="B148" s="4" t="s">
        <v>93</v>
      </c>
      <c r="C148" s="4" t="s">
        <v>108</v>
      </c>
      <c r="D148" s="4" t="s">
        <v>148</v>
      </c>
      <c r="E148" s="25" t="s">
        <v>660</v>
      </c>
    </row>
    <row r="149" spans="1:5">
      <c r="A149" s="21" t="s">
        <v>478</v>
      </c>
      <c r="B149" s="4" t="s">
        <v>93</v>
      </c>
      <c r="C149" s="4" t="s">
        <v>230</v>
      </c>
      <c r="D149" s="4" t="s">
        <v>36</v>
      </c>
      <c r="E149" s="25" t="s">
        <v>661</v>
      </c>
    </row>
    <row r="150" spans="1:5">
      <c r="A150" s="21" t="s">
        <v>509</v>
      </c>
      <c r="B150" s="4" t="s">
        <v>93</v>
      </c>
      <c r="C150" s="4" t="s">
        <v>121</v>
      </c>
      <c r="D150" s="4" t="s">
        <v>84</v>
      </c>
      <c r="E150" s="25" t="s">
        <v>662</v>
      </c>
    </row>
    <row r="151" spans="1:5">
      <c r="A151" s="21" t="s">
        <v>482</v>
      </c>
      <c r="B151" s="4" t="s">
        <v>93</v>
      </c>
      <c r="C151" s="4" t="s">
        <v>230</v>
      </c>
      <c r="D151" s="4" t="s">
        <v>486</v>
      </c>
      <c r="E151" s="25" t="s">
        <v>663</v>
      </c>
    </row>
    <row r="152" spans="1:5">
      <c r="A152" s="21" t="s">
        <v>487</v>
      </c>
      <c r="B152" s="4" t="s">
        <v>93</v>
      </c>
      <c r="C152" s="4" t="s">
        <v>230</v>
      </c>
      <c r="D152" s="4" t="s">
        <v>35</v>
      </c>
      <c r="E152" s="25" t="s">
        <v>664</v>
      </c>
    </row>
    <row r="153" spans="1:5">
      <c r="A153" s="21" t="s">
        <v>514</v>
      </c>
      <c r="B153" s="4" t="s">
        <v>93</v>
      </c>
      <c r="C153" s="4" t="s">
        <v>121</v>
      </c>
      <c r="D153" s="4" t="s">
        <v>462</v>
      </c>
      <c r="E153" s="25" t="s">
        <v>665</v>
      </c>
    </row>
    <row r="154" spans="1:5">
      <c r="A154" s="21" t="s">
        <v>518</v>
      </c>
      <c r="B154" s="4" t="s">
        <v>93</v>
      </c>
      <c r="C154" s="4" t="s">
        <v>121</v>
      </c>
      <c r="D154" s="4" t="s">
        <v>462</v>
      </c>
      <c r="E154" s="25" t="s">
        <v>666</v>
      </c>
    </row>
    <row r="155" spans="1:5">
      <c r="A155" s="21" t="s">
        <v>395</v>
      </c>
      <c r="B155" s="4" t="s">
        <v>93</v>
      </c>
      <c r="C155" s="4" t="s">
        <v>108</v>
      </c>
      <c r="D155" s="4" t="s">
        <v>21</v>
      </c>
      <c r="E155" s="25" t="s">
        <v>667</v>
      </c>
    </row>
    <row r="157" spans="1:5" ht="14.25">
      <c r="A157" s="22"/>
      <c r="B157" s="23" t="s">
        <v>1003</v>
      </c>
    </row>
    <row r="158" spans="1:5" ht="15">
      <c r="A158" s="24" t="s">
        <v>94</v>
      </c>
      <c r="B158" s="24" t="s">
        <v>95</v>
      </c>
      <c r="C158" s="24" t="s">
        <v>96</v>
      </c>
      <c r="D158" s="24" t="s">
        <v>97</v>
      </c>
      <c r="E158" s="24" t="s">
        <v>98</v>
      </c>
    </row>
    <row r="159" spans="1:5">
      <c r="A159" s="21" t="s">
        <v>625</v>
      </c>
      <c r="B159" s="36" t="s">
        <v>1004</v>
      </c>
      <c r="C159" s="4" t="s">
        <v>118</v>
      </c>
      <c r="D159" s="4" t="s">
        <v>187</v>
      </c>
      <c r="E159" s="25" t="s">
        <v>668</v>
      </c>
    </row>
    <row r="160" spans="1:5">
      <c r="A160" s="21" t="s">
        <v>565</v>
      </c>
      <c r="B160" s="36" t="s">
        <v>991</v>
      </c>
      <c r="C160" s="4" t="s">
        <v>105</v>
      </c>
      <c r="D160" s="4" t="s">
        <v>298</v>
      </c>
      <c r="E160" s="25" t="s">
        <v>669</v>
      </c>
    </row>
    <row r="161" spans="1:5">
      <c r="A161" s="21" t="s">
        <v>614</v>
      </c>
      <c r="B161" s="36" t="s">
        <v>985</v>
      </c>
      <c r="C161" s="4" t="s">
        <v>111</v>
      </c>
      <c r="D161" s="4" t="s">
        <v>225</v>
      </c>
      <c r="E161" s="25" t="s">
        <v>670</v>
      </c>
    </row>
    <row r="162" spans="1:5">
      <c r="A162" s="21" t="s">
        <v>621</v>
      </c>
      <c r="B162" s="36" t="s">
        <v>985</v>
      </c>
      <c r="C162" s="4" t="s">
        <v>118</v>
      </c>
      <c r="D162" s="4" t="s">
        <v>26</v>
      </c>
      <c r="E162" s="25" t="s">
        <v>671</v>
      </c>
    </row>
    <row r="163" spans="1:5">
      <c r="A163" s="21" t="s">
        <v>568</v>
      </c>
      <c r="B163" s="36" t="s">
        <v>1004</v>
      </c>
      <c r="C163" s="4" t="s">
        <v>105</v>
      </c>
      <c r="D163" s="4" t="s">
        <v>462</v>
      </c>
      <c r="E163" s="25" t="s">
        <v>672</v>
      </c>
    </row>
    <row r="164" spans="1:5">
      <c r="A164" s="21" t="s">
        <v>466</v>
      </c>
      <c r="B164" s="36" t="s">
        <v>991</v>
      </c>
      <c r="C164" s="4" t="s">
        <v>99</v>
      </c>
      <c r="D164" s="4" t="s">
        <v>45</v>
      </c>
      <c r="E164" s="25" t="s">
        <v>673</v>
      </c>
    </row>
    <row r="165" spans="1:5">
      <c r="A165" s="21" t="s">
        <v>602</v>
      </c>
      <c r="B165" s="36" t="s">
        <v>1005</v>
      </c>
      <c r="C165" s="4" t="s">
        <v>108</v>
      </c>
      <c r="D165" s="4" t="s">
        <v>293</v>
      </c>
      <c r="E165" s="25" t="s">
        <v>674</v>
      </c>
    </row>
    <row r="166" spans="1:5">
      <c r="A166" s="21" t="s">
        <v>600</v>
      </c>
      <c r="B166" s="36" t="s">
        <v>985</v>
      </c>
      <c r="C166" s="4" t="s">
        <v>108</v>
      </c>
      <c r="D166" s="4" t="s">
        <v>175</v>
      </c>
      <c r="E166" s="25" t="s">
        <v>675</v>
      </c>
    </row>
  </sheetData>
  <mergeCells count="23">
    <mergeCell ref="A64:L64"/>
    <mergeCell ref="A77:L77"/>
    <mergeCell ref="A82:L82"/>
    <mergeCell ref="A16:L16"/>
    <mergeCell ref="A20:L20"/>
    <mergeCell ref="A24:L24"/>
    <mergeCell ref="A33:L33"/>
    <mergeCell ref="A42:L42"/>
    <mergeCell ref="A53:L53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WPC НЖ 1_2 вес</vt:lpstr>
      <vt:lpstr>AWPC НЖ 1 вес</vt:lpstr>
      <vt:lpstr>WPC НЖ 1 вес</vt:lpstr>
      <vt:lpstr>AWPC 1 слой тяга</vt:lpstr>
      <vt:lpstr>AWPC б_э тяга</vt:lpstr>
      <vt:lpstr>WPC б_э тяга</vt:lpstr>
      <vt:lpstr>AWPC мн.слой софт эк. жим</vt:lpstr>
      <vt:lpstr>AWPC стд. софт эк. жим</vt:lpstr>
      <vt:lpstr>AWPC б_э жим</vt:lpstr>
      <vt:lpstr>AWPC Класс. ПЛ RAW</vt:lpstr>
      <vt:lpstr>AWPC б_э ПЛ</vt:lpstr>
      <vt:lpstr>WPC стд. софт эк. жим</vt:lpstr>
      <vt:lpstr>WPC б_э жим</vt:lpstr>
      <vt:lpstr>WPC класс. ПЛ RAW</vt:lpstr>
      <vt:lpstr>WPC б_э ПЛ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Franz</cp:lastModifiedBy>
  <cp:lastPrinted>2015-07-16T19:10:53Z</cp:lastPrinted>
  <dcterms:created xsi:type="dcterms:W3CDTF">2002-06-16T13:36:44Z</dcterms:created>
  <dcterms:modified xsi:type="dcterms:W3CDTF">2019-08-06T03:28:32Z</dcterms:modified>
</cp:coreProperties>
</file>