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60" yWindow="165" windowWidth="11340" windowHeight="7965" firstSheet="20" activeTab="26"/>
  </bookViews>
  <sheets>
    <sheet name="AWPC MP soft eq. BP" sheetId="35" r:id="rId1"/>
    <sheet name="WPC soft eq. BP" sheetId="36" r:id="rId2"/>
    <sheet name="MR BP 1 bw. AWPC" sheetId="38" r:id="rId3"/>
    <sheet name="MR BP 1 bw. WPC" sheetId="39" r:id="rId4"/>
    <sheet name="MR BP 1_2 bw. AWPC" sheetId="37" r:id="rId5"/>
    <sheet name="AWPA st. soft eq. BP" sheetId="34" r:id="rId6"/>
    <sheet name="WPA RAW PP" sheetId="26" r:id="rId7"/>
    <sheet name="AWPA RAW PP" sheetId="25" r:id="rId8"/>
    <sheet name="WPA SC" sheetId="24" r:id="rId9"/>
    <sheet name="AWPA SC" sheetId="23" r:id="rId10"/>
    <sheet name="WPA OB" sheetId="22" r:id="rId11"/>
    <sheet name="AWPA OB" sheetId="21" r:id="rId12"/>
    <sheet name="AWPA raw PL" sheetId="20" r:id="rId13"/>
    <sheet name="AWPA m.ply BP" sheetId="19" r:id="rId14"/>
    <sheet name="AWPA st.ply BP" sheetId="18" r:id="rId15"/>
    <sheet name="AWPA raw BP" sheetId="17" r:id="rId16"/>
    <sheet name="AWPA m.ply DL" sheetId="16" r:id="rId17"/>
    <sheet name="AWPA raw DL" sheetId="14" r:id="rId18"/>
    <sheet name="WPA m.ply PL" sheetId="13" r:id="rId19"/>
    <sheet name="WPA st.ply PL" sheetId="12" r:id="rId20"/>
    <sheet name="WPA raw PL" sheetId="11" r:id="rId21"/>
    <sheet name="WPA m.ply BP" sheetId="10" r:id="rId22"/>
    <sheet name="WPA st.ply BP" sheetId="9" r:id="rId23"/>
    <sheet name="WPA raw BP" sheetId="8" r:id="rId24"/>
    <sheet name="WPA m.ply DL" sheetId="7" r:id="rId25"/>
    <sheet name="WPA st.ply DL" sheetId="6" r:id="rId26"/>
    <sheet name="WPA raw DL" sheetId="5" r:id="rId27"/>
  </sheets>
  <definedNames>
    <definedName name="_FilterDatabase" localSheetId="26" hidden="1">'WPA raw DL'!$A$1:$K$3</definedName>
  </definedNames>
  <calcPr calcId="125725" refMode="R1C1"/>
</workbook>
</file>

<file path=xl/calcChain.xml><?xml version="1.0" encoding="utf-8"?>
<calcChain xmlns="http://schemas.openxmlformats.org/spreadsheetml/2006/main">
  <c r="D6" i="39"/>
  <c r="I6"/>
  <c r="J6"/>
  <c r="D9"/>
  <c r="I9"/>
  <c r="J9"/>
  <c r="D10"/>
  <c r="I10"/>
  <c r="J10"/>
  <c r="D13"/>
  <c r="I13"/>
  <c r="J13"/>
  <c r="D16"/>
  <c r="I16"/>
  <c r="J16"/>
  <c r="D6" i="38"/>
  <c r="I6"/>
  <c r="J6"/>
  <c r="D9"/>
  <c r="I9"/>
  <c r="J9"/>
  <c r="D12"/>
  <c r="I12"/>
  <c r="J12"/>
  <c r="D15"/>
  <c r="I15"/>
  <c r="J15"/>
  <c r="D16"/>
  <c r="I16"/>
  <c r="J16"/>
  <c r="D17"/>
  <c r="I17"/>
  <c r="J17"/>
  <c r="D18"/>
  <c r="I18"/>
  <c r="J18"/>
  <c r="D19"/>
  <c r="I19"/>
  <c r="J19"/>
  <c r="D20"/>
  <c r="I20"/>
  <c r="J20"/>
  <c r="D23"/>
  <c r="I23"/>
  <c r="J23"/>
  <c r="D24"/>
  <c r="I24"/>
  <c r="J24"/>
  <c r="D6" i="37"/>
  <c r="I6"/>
  <c r="J6"/>
  <c r="D6" i="36"/>
  <c r="K6"/>
  <c r="L6"/>
  <c r="D9"/>
  <c r="K9"/>
  <c r="L9"/>
  <c r="D10"/>
  <c r="K10"/>
  <c r="L10"/>
  <c r="D11"/>
  <c r="K11"/>
  <c r="L11"/>
  <c r="D14"/>
  <c r="K14"/>
  <c r="L14"/>
  <c r="D17"/>
  <c r="K17"/>
  <c r="L17"/>
  <c r="D20"/>
  <c r="K20"/>
  <c r="L20"/>
  <c r="D6" i="35"/>
  <c r="K6"/>
  <c r="L6"/>
  <c r="D9"/>
  <c r="K9"/>
  <c r="L9"/>
  <c r="D10"/>
  <c r="K10"/>
  <c r="L10"/>
  <c r="D11"/>
  <c r="K11"/>
  <c r="L11"/>
  <c r="D14"/>
  <c r="K14"/>
  <c r="L14"/>
  <c r="D17"/>
  <c r="K17"/>
  <c r="L17"/>
  <c r="D20"/>
  <c r="K20"/>
  <c r="L20"/>
  <c r="D21"/>
  <c r="K21"/>
  <c r="L21"/>
  <c r="D22"/>
  <c r="K22"/>
  <c r="L22"/>
  <c r="L10" i="16"/>
  <c r="K10"/>
  <c r="D10"/>
  <c r="L9" i="34"/>
  <c r="K9"/>
  <c r="D9"/>
  <c r="L6"/>
  <c r="K6"/>
  <c r="D6"/>
  <c r="P9" i="26"/>
  <c r="O9"/>
  <c r="D9"/>
  <c r="P6"/>
  <c r="O6"/>
  <c r="D6"/>
  <c r="P16" i="25"/>
  <c r="O16"/>
  <c r="D16"/>
  <c r="P13"/>
  <c r="O13"/>
  <c r="D13"/>
  <c r="P12"/>
  <c r="O12"/>
  <c r="D12"/>
  <c r="P9"/>
  <c r="O9"/>
  <c r="D9"/>
  <c r="P6"/>
  <c r="O6"/>
  <c r="D6"/>
  <c r="L17" i="24"/>
  <c r="K17"/>
  <c r="D17"/>
  <c r="L16"/>
  <c r="K16"/>
  <c r="D16"/>
  <c r="L15"/>
  <c r="K15"/>
  <c r="D15"/>
  <c r="L12"/>
  <c r="K12"/>
  <c r="D12"/>
  <c r="L9"/>
  <c r="K9"/>
  <c r="D9"/>
  <c r="L6"/>
  <c r="K6"/>
  <c r="D6"/>
  <c r="L15" i="23"/>
  <c r="K15"/>
  <c r="D15"/>
  <c r="L12"/>
  <c r="K12"/>
  <c r="D12"/>
  <c r="L11"/>
  <c r="K11"/>
  <c r="D11"/>
  <c r="L10"/>
  <c r="K10"/>
  <c r="D10"/>
  <c r="L7"/>
  <c r="K7"/>
  <c r="D7"/>
  <c r="L6"/>
  <c r="K6"/>
  <c r="D6"/>
  <c r="L9" i="22"/>
  <c r="K9"/>
  <c r="D9"/>
  <c r="L6"/>
  <c r="K6"/>
  <c r="D6"/>
  <c r="L9" i="21"/>
  <c r="K9"/>
  <c r="D9"/>
  <c r="L6"/>
  <c r="K6"/>
  <c r="D6"/>
  <c r="T45" i="20"/>
  <c r="S45"/>
  <c r="D45"/>
  <c r="T42"/>
  <c r="S42"/>
  <c r="D42"/>
  <c r="T41"/>
  <c r="S41"/>
  <c r="D41"/>
  <c r="T40"/>
  <c r="S40"/>
  <c r="D40"/>
  <c r="T37"/>
  <c r="S37"/>
  <c r="D37"/>
  <c r="T34"/>
  <c r="S34"/>
  <c r="D34"/>
  <c r="T33"/>
  <c r="S33"/>
  <c r="D33"/>
  <c r="T30"/>
  <c r="S30"/>
  <c r="D30"/>
  <c r="T27"/>
  <c r="S27"/>
  <c r="D27"/>
  <c r="T26"/>
  <c r="S26"/>
  <c r="D26"/>
  <c r="T25"/>
  <c r="S25"/>
  <c r="D25"/>
  <c r="T22"/>
  <c r="S22"/>
  <c r="D22"/>
  <c r="T19"/>
  <c r="S19"/>
  <c r="D19"/>
  <c r="T16"/>
  <c r="S16"/>
  <c r="D16"/>
  <c r="T13"/>
  <c r="S13"/>
  <c r="D13"/>
  <c r="T12"/>
  <c r="S12"/>
  <c r="D12"/>
  <c r="T11"/>
  <c r="S11"/>
  <c r="D11"/>
  <c r="T8"/>
  <c r="S8"/>
  <c r="D8"/>
  <c r="T7"/>
  <c r="S7"/>
  <c r="D7"/>
  <c r="T6"/>
  <c r="S6"/>
  <c r="D6"/>
  <c r="L6" i="19"/>
  <c r="K6"/>
  <c r="D6"/>
  <c r="L6" i="18"/>
  <c r="K6"/>
  <c r="D6"/>
  <c r="L67" i="17"/>
  <c r="K67"/>
  <c r="D67"/>
  <c r="L66"/>
  <c r="K66"/>
  <c r="D66"/>
  <c r="L65"/>
  <c r="K65"/>
  <c r="D65"/>
  <c r="L64"/>
  <c r="K64"/>
  <c r="D64"/>
  <c r="L63"/>
  <c r="K63"/>
  <c r="D63"/>
  <c r="L62"/>
  <c r="K62"/>
  <c r="D62"/>
  <c r="L59"/>
  <c r="K59"/>
  <c r="D59"/>
  <c r="L58"/>
  <c r="K58"/>
  <c r="D58"/>
  <c r="L57"/>
  <c r="K57"/>
  <c r="D57"/>
  <c r="L56"/>
  <c r="K56"/>
  <c r="D56"/>
  <c r="L55"/>
  <c r="K55"/>
  <c r="D55"/>
  <c r="L54"/>
  <c r="K54"/>
  <c r="D54"/>
  <c r="L53"/>
  <c r="K53"/>
  <c r="D53"/>
  <c r="L50"/>
  <c r="K50"/>
  <c r="D50"/>
  <c r="L49"/>
  <c r="K49"/>
  <c r="D49"/>
  <c r="L48"/>
  <c r="K48"/>
  <c r="D48"/>
  <c r="L47"/>
  <c r="K47"/>
  <c r="D47"/>
  <c r="L46"/>
  <c r="K46"/>
  <c r="D46"/>
  <c r="L45"/>
  <c r="K45"/>
  <c r="D45"/>
  <c r="L44"/>
  <c r="K44"/>
  <c r="D44"/>
  <c r="L43"/>
  <c r="K43"/>
  <c r="D43"/>
  <c r="L42"/>
  <c r="K42"/>
  <c r="D42"/>
  <c r="L41"/>
  <c r="K41"/>
  <c r="D41"/>
  <c r="L40"/>
  <c r="K40"/>
  <c r="D40"/>
  <c r="L37"/>
  <c r="K37"/>
  <c r="D37"/>
  <c r="L36"/>
  <c r="K36"/>
  <c r="D36"/>
  <c r="L35"/>
  <c r="K35"/>
  <c r="D35"/>
  <c r="L32"/>
  <c r="K32"/>
  <c r="D32"/>
  <c r="L31"/>
  <c r="K31"/>
  <c r="D31"/>
  <c r="L30"/>
  <c r="K30"/>
  <c r="D30"/>
  <c r="L27"/>
  <c r="K27"/>
  <c r="D27"/>
  <c r="L26"/>
  <c r="K26"/>
  <c r="D26"/>
  <c r="L23"/>
  <c r="K23"/>
  <c r="D23"/>
  <c r="L22"/>
  <c r="K22"/>
  <c r="D22"/>
  <c r="L19"/>
  <c r="K19"/>
  <c r="D19"/>
  <c r="L16"/>
  <c r="K16"/>
  <c r="D16"/>
  <c r="L13"/>
  <c r="K13"/>
  <c r="D13"/>
  <c r="L10"/>
  <c r="K10"/>
  <c r="D10"/>
  <c r="L7"/>
  <c r="K7"/>
  <c r="D7"/>
  <c r="L6"/>
  <c r="K6"/>
  <c r="D6"/>
  <c r="L9" i="16"/>
  <c r="K9"/>
  <c r="D9"/>
  <c r="L6"/>
  <c r="K6"/>
  <c r="D6"/>
  <c r="L36" i="14"/>
  <c r="K36"/>
  <c r="D36"/>
  <c r="L33"/>
  <c r="K33"/>
  <c r="D33"/>
  <c r="L32"/>
  <c r="K32"/>
  <c r="D32"/>
  <c r="L31"/>
  <c r="K31"/>
  <c r="D31"/>
  <c r="L28"/>
  <c r="K28"/>
  <c r="D28"/>
  <c r="L27"/>
  <c r="K27"/>
  <c r="D27"/>
  <c r="L26"/>
  <c r="K26"/>
  <c r="D26"/>
  <c r="L23"/>
  <c r="K23"/>
  <c r="D23"/>
  <c r="L20"/>
  <c r="K20"/>
  <c r="D20"/>
  <c r="L19"/>
  <c r="K19"/>
  <c r="D19"/>
  <c r="L16"/>
  <c r="K16"/>
  <c r="D16"/>
  <c r="L13"/>
  <c r="K13"/>
  <c r="D13"/>
  <c r="L10"/>
  <c r="K10"/>
  <c r="D10"/>
  <c r="L9"/>
  <c r="K9"/>
  <c r="D9"/>
  <c r="L6"/>
  <c r="K6"/>
  <c r="D6"/>
  <c r="T9" i="13"/>
  <c r="S9"/>
  <c r="D9"/>
  <c r="T6"/>
  <c r="S6"/>
  <c r="D6"/>
  <c r="T12" i="12"/>
  <c r="S12"/>
  <c r="D12"/>
  <c r="T9"/>
  <c r="S9"/>
  <c r="D9"/>
  <c r="T6"/>
  <c r="S6"/>
  <c r="D6"/>
  <c r="T23" i="11"/>
  <c r="S23"/>
  <c r="D23"/>
  <c r="T20"/>
  <c r="S20"/>
  <c r="D20"/>
  <c r="T19"/>
  <c r="S19"/>
  <c r="D19"/>
  <c r="T16"/>
  <c r="S16"/>
  <c r="D16"/>
  <c r="T15"/>
  <c r="S15"/>
  <c r="D15"/>
  <c r="T14"/>
  <c r="S14"/>
  <c r="D14"/>
  <c r="T13"/>
  <c r="S13"/>
  <c r="D13"/>
  <c r="T10"/>
  <c r="S10"/>
  <c r="D10"/>
  <c r="T9"/>
  <c r="S9"/>
  <c r="D9"/>
  <c r="T6"/>
  <c r="S6"/>
  <c r="D6"/>
  <c r="L15" i="10"/>
  <c r="K15"/>
  <c r="D15"/>
  <c r="L12"/>
  <c r="K12"/>
  <c r="D12"/>
  <c r="L9"/>
  <c r="K9"/>
  <c r="D9"/>
  <c r="L6"/>
  <c r="K6"/>
  <c r="D6"/>
  <c r="L6" i="9"/>
  <c r="K6"/>
  <c r="D6"/>
  <c r="L47" i="8"/>
  <c r="K47"/>
  <c r="D47"/>
  <c r="L44"/>
  <c r="K44"/>
  <c r="D44"/>
  <c r="L43"/>
  <c r="K43"/>
  <c r="D43"/>
  <c r="L40"/>
  <c r="K40"/>
  <c r="D40"/>
  <c r="L39"/>
  <c r="K39"/>
  <c r="D39"/>
  <c r="L38"/>
  <c r="K38"/>
  <c r="D38"/>
  <c r="L37"/>
  <c r="K37"/>
  <c r="D37"/>
  <c r="L36"/>
  <c r="K36"/>
  <c r="D36"/>
  <c r="L33"/>
  <c r="K33"/>
  <c r="D33"/>
  <c r="L32"/>
  <c r="K32"/>
  <c r="D32"/>
  <c r="L31"/>
  <c r="K31"/>
  <c r="D31"/>
  <c r="L28"/>
  <c r="K28"/>
  <c r="D28"/>
  <c r="L27"/>
  <c r="K27"/>
  <c r="D27"/>
  <c r="L26"/>
  <c r="K26"/>
  <c r="D26"/>
  <c r="L25"/>
  <c r="K25"/>
  <c r="D25"/>
  <c r="L22"/>
  <c r="K22"/>
  <c r="D22"/>
  <c r="L21"/>
  <c r="K21"/>
  <c r="D21"/>
  <c r="L18"/>
  <c r="K18"/>
  <c r="D18"/>
  <c r="L15"/>
  <c r="K15"/>
  <c r="D15"/>
  <c r="L12"/>
  <c r="K12"/>
  <c r="D12"/>
  <c r="L9"/>
  <c r="K9"/>
  <c r="D9"/>
  <c r="L6"/>
  <c r="K6"/>
  <c r="D6"/>
  <c r="L6" i="7"/>
  <c r="K6"/>
  <c r="D6"/>
  <c r="L16" i="6"/>
  <c r="K16"/>
  <c r="D16"/>
  <c r="L15"/>
  <c r="K15"/>
  <c r="D15"/>
  <c r="L12"/>
  <c r="K12"/>
  <c r="D12"/>
  <c r="L9"/>
  <c r="K9"/>
  <c r="D9"/>
  <c r="L6"/>
  <c r="K6"/>
  <c r="D6"/>
  <c r="L36" i="5"/>
  <c r="K36"/>
  <c r="D36"/>
  <c r="L35"/>
  <c r="K35"/>
  <c r="D35"/>
  <c r="L34"/>
  <c r="K34"/>
  <c r="D34"/>
  <c r="L31"/>
  <c r="K31"/>
  <c r="D31"/>
  <c r="L30"/>
  <c r="K30"/>
  <c r="D30"/>
  <c r="L29"/>
  <c r="K29"/>
  <c r="D29"/>
  <c r="L26"/>
  <c r="K26"/>
  <c r="D26"/>
  <c r="L23"/>
  <c r="K23"/>
  <c r="D23"/>
  <c r="L20"/>
  <c r="K20"/>
  <c r="D20"/>
  <c r="L19"/>
  <c r="K19"/>
  <c r="D19"/>
  <c r="L18"/>
  <c r="K18"/>
  <c r="D18"/>
  <c r="L17"/>
  <c r="K17"/>
  <c r="D17"/>
  <c r="L14"/>
  <c r="K14"/>
  <c r="D14"/>
  <c r="L11"/>
  <c r="K11"/>
  <c r="D11"/>
  <c r="L10"/>
  <c r="K10"/>
  <c r="D10"/>
  <c r="L7"/>
  <c r="K7"/>
  <c r="D7"/>
  <c r="L6"/>
  <c r="K6"/>
  <c r="D6"/>
</calcChain>
</file>

<file path=xl/sharedStrings.xml><?xml version="1.0" encoding="utf-8"?>
<sst xmlns="http://schemas.openxmlformats.org/spreadsheetml/2006/main" count="3939" uniqueCount="1101">
  <si>
    <t>Name</t>
  </si>
  <si>
    <t>Team</t>
  </si>
  <si>
    <t>Squat</t>
  </si>
  <si>
    <t>Benchpress</t>
  </si>
  <si>
    <t>Deadlift</t>
  </si>
  <si>
    <t>Coach</t>
  </si>
  <si>
    <t>Pts</t>
  </si>
  <si>
    <t>Rec</t>
  </si>
  <si>
    <t>Body
weight</t>
  </si>
  <si>
    <t>Total</t>
  </si>
  <si>
    <t>Age Class
Bith date/Age</t>
  </si>
  <si>
    <t>WORLD CUP
WPA raw deadlift
Москва/Москва 26 - 27 октября 2019 г.</t>
  </si>
  <si>
    <t>Shv/Mel</t>
  </si>
  <si>
    <t>Town/Country</t>
  </si>
  <si>
    <t>Body Weight Category  60</t>
  </si>
  <si>
    <t>Fink Anzhelika</t>
  </si>
  <si>
    <t>1. Fink Anzhelika</t>
  </si>
  <si>
    <t>Teen 13-15 (10.09.2004)/15</t>
  </si>
  <si>
    <t>59,30</t>
  </si>
  <si>
    <t>Lichno</t>
  </si>
  <si>
    <t>KGZ/Kirgizstan</t>
  </si>
  <si>
    <t>115,0</t>
  </si>
  <si>
    <t>125,0</t>
  </si>
  <si>
    <t>127,5</t>
  </si>
  <si>
    <t>Nabieva Roksana</t>
  </si>
  <si>
    <t>1. Nabieva Roksana</t>
  </si>
  <si>
    <t>Open (17.06.1987)/32</t>
  </si>
  <si>
    <t>130,0</t>
  </si>
  <si>
    <t>145,0</t>
  </si>
  <si>
    <t>147,5</t>
  </si>
  <si>
    <t>Body Weight Category  67.5</t>
  </si>
  <si>
    <t>Sabirov Bakhramzhon</t>
  </si>
  <si>
    <t>1. Sabirov Bakhramzhon</t>
  </si>
  <si>
    <t>Juniors 20-23 (15.07.1999)/20</t>
  </si>
  <si>
    <t>67,30</t>
  </si>
  <si>
    <t>200,0</t>
  </si>
  <si>
    <t>225,0</t>
  </si>
  <si>
    <t>240,0</t>
  </si>
  <si>
    <t>Bahamin Rahimi</t>
  </si>
  <si>
    <t>1. Bahamin Rahimi</t>
  </si>
  <si>
    <t>Open (06.06.1993)/26</t>
  </si>
  <si>
    <t>67,40</t>
  </si>
  <si>
    <t>AFG/Afganistan</t>
  </si>
  <si>
    <t>210,0</t>
  </si>
  <si>
    <t>233,0</t>
  </si>
  <si>
    <t>Body Weight Category  75</t>
  </si>
  <si>
    <t>Pal Ajai</t>
  </si>
  <si>
    <t>1. Pal Ajai</t>
  </si>
  <si>
    <t>Masters 40-44 (22.05.1976)/43</t>
  </si>
  <si>
    <t>73,90</t>
  </si>
  <si>
    <t>IND/India</t>
  </si>
  <si>
    <t>140,0</t>
  </si>
  <si>
    <t>160,0</t>
  </si>
  <si>
    <t>165,0</t>
  </si>
  <si>
    <t>Body Weight Category  82.5</t>
  </si>
  <si>
    <t>Mustapaev Ruslan</t>
  </si>
  <si>
    <t>1. Mustapaev Ruslan</t>
  </si>
  <si>
    <t>Teen 18-19 (15.04.2000)/19</t>
  </si>
  <si>
    <t>81,00</t>
  </si>
  <si>
    <t>220,0</t>
  </si>
  <si>
    <t>Gadzhiachmedov Dalgat</t>
  </si>
  <si>
    <t>1. Gadzhiachmedov Dalgat</t>
  </si>
  <si>
    <t>Open (18.06.1987)/32</t>
  </si>
  <si>
    <t>76,20</t>
  </si>
  <si>
    <t>RUS/Moskva</t>
  </si>
  <si>
    <t>235,0</t>
  </si>
  <si>
    <t>245,0</t>
  </si>
  <si>
    <t>250,0</t>
  </si>
  <si>
    <t>Remizevich Evgeniy</t>
  </si>
  <si>
    <t>2. Remizevich Evgeniy</t>
  </si>
  <si>
    <t>Open (03.03.1992)/27</t>
  </si>
  <si>
    <t>79,00</t>
  </si>
  <si>
    <t>Megalift Moskva</t>
  </si>
  <si>
    <t>215,0</t>
  </si>
  <si>
    <t>Tariyal Shashank</t>
  </si>
  <si>
    <t>3. Tariyal Shashank</t>
  </si>
  <si>
    <t>Open (08.10.1994)/25</t>
  </si>
  <si>
    <t>77,60</t>
  </si>
  <si>
    <t>170,0</t>
  </si>
  <si>
    <t>180,0</t>
  </si>
  <si>
    <t>185,0</t>
  </si>
  <si>
    <t>Body Weight Category  90</t>
  </si>
  <si>
    <t>Khudoleev Evgeniy</t>
  </si>
  <si>
    <t>1. Khudoleev Evgeniy</t>
  </si>
  <si>
    <t>Masters 70-74 (10.09.1946)/73</t>
  </si>
  <si>
    <t>88,30</t>
  </si>
  <si>
    <t>RUS/Valday</t>
  </si>
  <si>
    <t>Body Weight Category  100</t>
  </si>
  <si>
    <t>Kulagin Dmitriy</t>
  </si>
  <si>
    <t>1. Kulagin Dmitriy</t>
  </si>
  <si>
    <t>Open (07.06.1989)/30</t>
  </si>
  <si>
    <t>99,10</t>
  </si>
  <si>
    <t>230,0</t>
  </si>
  <si>
    <t>0,0</t>
  </si>
  <si>
    <t>Body Weight Category  110</t>
  </si>
  <si>
    <t>Fadaei Mahdi</t>
  </si>
  <si>
    <t>1. Fadaei Mahdi</t>
  </si>
  <si>
    <t>Juniors 20-23 (27.07.1998)/21</t>
  </si>
  <si>
    <t>107,90</t>
  </si>
  <si>
    <t>IRN/Iran</t>
  </si>
  <si>
    <t>Hozhabrihesarkoochak Abolfazl</t>
  </si>
  <si>
    <t>1. Hozhabrihesarkoochak Abolfazl</t>
  </si>
  <si>
    <t>Open (04.07.1992)/27</t>
  </si>
  <si>
    <t>109,50</t>
  </si>
  <si>
    <t>260,0</t>
  </si>
  <si>
    <t>280,0</t>
  </si>
  <si>
    <t>300,0</t>
  </si>
  <si>
    <t>Shafaghi Alireza</t>
  </si>
  <si>
    <t>1. Shafaghi Alireza</t>
  </si>
  <si>
    <t>Masters 55-59 (25.03.1963)/56</t>
  </si>
  <si>
    <t>109,20</t>
  </si>
  <si>
    <t>190,0</t>
  </si>
  <si>
    <t>Body Weight Category  125</t>
  </si>
  <si>
    <t>Ikaev Sarmat</t>
  </si>
  <si>
    <t>1. Ikaev Sarmat</t>
  </si>
  <si>
    <t>Juniors 20-23 (08.11.1996)/22</t>
  </si>
  <si>
    <t>124,50</t>
  </si>
  <si>
    <t>RUS/Yuzhnaya Osetiya</t>
  </si>
  <si>
    <t>270,0</t>
  </si>
  <si>
    <t>282,5</t>
  </si>
  <si>
    <t>Open (08.11.1996)/22</t>
  </si>
  <si>
    <t>Lukyanov Sergey</t>
  </si>
  <si>
    <t>1. Lukyanov Sergey</t>
  </si>
  <si>
    <t>Masters 60-64 (25.10.1955)/64</t>
  </si>
  <si>
    <t>119,70</t>
  </si>
  <si>
    <t>195,0</t>
  </si>
  <si>
    <t>205,0</t>
  </si>
  <si>
    <t>Tokarev Sergey</t>
  </si>
  <si>
    <t>Meet director:</t>
  </si>
  <si>
    <t>Head secretary:</t>
  </si>
  <si>
    <t>Head Referee:</t>
  </si>
  <si>
    <t>Side Referyy Left:</t>
  </si>
  <si>
    <t>Side Referyy Right:</t>
  </si>
  <si>
    <t>Fligth secretary:</t>
  </si>
  <si>
    <t>List absolute winners</t>
  </si>
  <si>
    <t>Women</t>
  </si>
  <si>
    <t>Teen</t>
  </si>
  <si>
    <t>Age class</t>
  </si>
  <si>
    <t>WC</t>
  </si>
  <si>
    <t>Totall</t>
  </si>
  <si>
    <t>Teen 13-15</t>
  </si>
  <si>
    <t>60</t>
  </si>
  <si>
    <t>110,7720</t>
  </si>
  <si>
    <t>Open</t>
  </si>
  <si>
    <t>128,1480</t>
  </si>
  <si>
    <t>Man</t>
  </si>
  <si>
    <t>Teen 18-19</t>
  </si>
  <si>
    <t>82.5</t>
  </si>
  <si>
    <t>131,7330</t>
  </si>
  <si>
    <t>Juniors</t>
  </si>
  <si>
    <t>Juniors 20-23</t>
  </si>
  <si>
    <t>67.5</t>
  </si>
  <si>
    <t>163,7550</t>
  </si>
  <si>
    <t>125</t>
  </si>
  <si>
    <t>147,3803</t>
  </si>
  <si>
    <t>110</t>
  </si>
  <si>
    <t>118,6240</t>
  </si>
  <si>
    <t>163,5300</t>
  </si>
  <si>
    <t>160,7935</t>
  </si>
  <si>
    <t>150,3880</t>
  </si>
  <si>
    <t>137,3420</t>
  </si>
  <si>
    <t>100</t>
  </si>
  <si>
    <t>133,5120</t>
  </si>
  <si>
    <t>116,5140</t>
  </si>
  <si>
    <t>Masters</t>
  </si>
  <si>
    <t>Masters 70-74</t>
  </si>
  <si>
    <t>90</t>
  </si>
  <si>
    <t>264,8318</t>
  </si>
  <si>
    <t>Masters 60-64</t>
  </si>
  <si>
    <t>201,6000</t>
  </si>
  <si>
    <t>Masters 55-59</t>
  </si>
  <si>
    <t>172,9728</t>
  </si>
  <si>
    <t>Masters 40-44</t>
  </si>
  <si>
    <t>75</t>
  </si>
  <si>
    <t>112,9262</t>
  </si>
  <si>
    <t>Result</t>
  </si>
  <si>
    <t>WORLD CUP
WPA standart ply deadlift
Москва/Москва 26 - 27 октября 2019 г.</t>
  </si>
  <si>
    <t>120,0</t>
  </si>
  <si>
    <t>Pandey Seema</t>
  </si>
  <si>
    <t>1. Pandey Seema</t>
  </si>
  <si>
    <t>Open (12.08.1994)/25</t>
  </si>
  <si>
    <t>74,50</t>
  </si>
  <si>
    <t>135,0</t>
  </si>
  <si>
    <t>Kadyrov Azimdzhan</t>
  </si>
  <si>
    <t>1. Kadyrov Azimdzhan</t>
  </si>
  <si>
    <t>Masters 40-44 (12.04.1976)/43</t>
  </si>
  <si>
    <t>89,30</t>
  </si>
  <si>
    <t>Body Weight Category  155+</t>
  </si>
  <si>
    <t>Freyded Rankyn</t>
  </si>
  <si>
    <t>1. Freyded Rankyn</t>
  </si>
  <si>
    <t>Open (07.10.1975)/44</t>
  </si>
  <si>
    <t>158,80</t>
  </si>
  <si>
    <t>CUB/Kuba</t>
  </si>
  <si>
    <t>300,5</t>
  </si>
  <si>
    <t>335,0</t>
  </si>
  <si>
    <t>Masters 40-44 (07.10.1975)/44</t>
  </si>
  <si>
    <t>108,6000</t>
  </si>
  <si>
    <t>93,5200</t>
  </si>
  <si>
    <t>155+</t>
  </si>
  <si>
    <t>162,3075</t>
  </si>
  <si>
    <t>167,3390</t>
  </si>
  <si>
    <t>143,6846</t>
  </si>
  <si>
    <t>WORLD CUP
WPA multi ply deadlift
Москва/Москва 26 - 27 октября 2019 г.</t>
  </si>
  <si>
    <t>Nazaraliev Almaz</t>
  </si>
  <si>
    <t>1. Nazaraliev Almaz</t>
  </si>
  <si>
    <t>Open (21.05.1982)/37</t>
  </si>
  <si>
    <t>82,20</t>
  </si>
  <si>
    <t>136,5980</t>
  </si>
  <si>
    <t>WORLD CUP
WPA raw benchpress
Москва/Москва 26 - 27 октября 2019 г.</t>
  </si>
  <si>
    <t>Body Weight Category  52</t>
  </si>
  <si>
    <t>Arzhanova Kristina</t>
  </si>
  <si>
    <t>1. Arzhanova Kristina</t>
  </si>
  <si>
    <t>Juniors 20-23 (31.03.1997)/22</t>
  </si>
  <si>
    <t>50,20</t>
  </si>
  <si>
    <t>47,5</t>
  </si>
  <si>
    <t>50,0</t>
  </si>
  <si>
    <t>52,5</t>
  </si>
  <si>
    <t>Body Weight Category  56</t>
  </si>
  <si>
    <t>Davydenko Dariya</t>
  </si>
  <si>
    <t>1. Davydenko Dariya</t>
  </si>
  <si>
    <t>Open (29.04.1984)/35</t>
  </si>
  <si>
    <t>54,80</t>
  </si>
  <si>
    <t>30,0</t>
  </si>
  <si>
    <t>32,5</t>
  </si>
  <si>
    <t>35,0</t>
  </si>
  <si>
    <t>60,0</t>
  </si>
  <si>
    <t>70,0</t>
  </si>
  <si>
    <t>75,0</t>
  </si>
  <si>
    <t>Milokhova Alena</t>
  </si>
  <si>
    <t>1. Milokhova Alena</t>
  </si>
  <si>
    <t>Open (30.01.1991)/28</t>
  </si>
  <si>
    <t>66,70</t>
  </si>
  <si>
    <t>90,0</t>
  </si>
  <si>
    <t>100,0</t>
  </si>
  <si>
    <t>102,5</t>
  </si>
  <si>
    <t>105,0</t>
  </si>
  <si>
    <t>112,5</t>
  </si>
  <si>
    <t>Vashurkin Aleksandr</t>
  </si>
  <si>
    <t>1. Vashurkin Aleksandr</t>
  </si>
  <si>
    <t>Open (03.09.1986)/33</t>
  </si>
  <si>
    <t>81,40</t>
  </si>
  <si>
    <t>VASHteam</t>
  </si>
  <si>
    <t>RUS/Zhukovskiy</t>
  </si>
  <si>
    <t>Boyarchenko Valery</t>
  </si>
  <si>
    <t>1. Boyarchenko Valery</t>
  </si>
  <si>
    <t>Masters 40-44 (28.11.1974)/44</t>
  </si>
  <si>
    <t>81,60</t>
  </si>
  <si>
    <t>RUS/Kirov</t>
  </si>
  <si>
    <t>142,5</t>
  </si>
  <si>
    <t>150,0</t>
  </si>
  <si>
    <t>157,5</t>
  </si>
  <si>
    <t>Snezhkov Ilya</t>
  </si>
  <si>
    <t>1. Snezhkov Ilya</t>
  </si>
  <si>
    <t>Open (06.12.1989)/29</t>
  </si>
  <si>
    <t>89,50</t>
  </si>
  <si>
    <t>RUS/Zelenograd</t>
  </si>
  <si>
    <t>Avdonin Georgiy</t>
  </si>
  <si>
    <t>1. Avdonin Georgiy</t>
  </si>
  <si>
    <t>Masters 50-54 (10.09.1969)/50</t>
  </si>
  <si>
    <t>89,40</t>
  </si>
  <si>
    <t>RUS/Magadan</t>
  </si>
  <si>
    <t>155,0</t>
  </si>
  <si>
    <t>Pantyusnin Konstantin</t>
  </si>
  <si>
    <t>1. Pantyusnin Konstantin</t>
  </si>
  <si>
    <t>Open (15.05.1989)/30</t>
  </si>
  <si>
    <t>98,50</t>
  </si>
  <si>
    <t>Eyvazov Dmitriy</t>
  </si>
  <si>
    <t>1. Eyvazov Dmitriy</t>
  </si>
  <si>
    <t>Sub Masters 33-39 (19.05.1983)/36</t>
  </si>
  <si>
    <t>92,60</t>
  </si>
  <si>
    <t>BLR/Vitebsk</t>
  </si>
  <si>
    <t>Zheenaliev Sergek</t>
  </si>
  <si>
    <t>1. Zheenaliev Sergek</t>
  </si>
  <si>
    <t>Masters 55-59 (22.04.1964)/55</t>
  </si>
  <si>
    <t>97,50</t>
  </si>
  <si>
    <t>Kiryanov Aleksandr</t>
  </si>
  <si>
    <t>1. Kiryanov Aleksandr</t>
  </si>
  <si>
    <t>Open (15.04.1975)/44</t>
  </si>
  <si>
    <t>107,30</t>
  </si>
  <si>
    <t>RUS/Krasnoznamensk</t>
  </si>
  <si>
    <t>Lyskov Anton</t>
  </si>
  <si>
    <t>2. Lyskov Anton</t>
  </si>
  <si>
    <t>Open (01.10.1984)/35</t>
  </si>
  <si>
    <t>102,00</t>
  </si>
  <si>
    <t>RUS/Chelyabinsk</t>
  </si>
  <si>
    <t>Trifonov Aleksandr</t>
  </si>
  <si>
    <t>1. Trifonov Aleksandr</t>
  </si>
  <si>
    <t>Masters 40-44 (04.12.1976)/42</t>
  </si>
  <si>
    <t>104,20</t>
  </si>
  <si>
    <t>Malekzadeh Adel</t>
  </si>
  <si>
    <t>2. Malekzadeh Adel</t>
  </si>
  <si>
    <t>Masters 40-44 (27.02.1975)/44</t>
  </si>
  <si>
    <t>107,80</t>
  </si>
  <si>
    <t>132,5</t>
  </si>
  <si>
    <t>Dorozhenko Dmitriy</t>
  </si>
  <si>
    <t>1. Dorozhenko Dmitriy</t>
  </si>
  <si>
    <t>Masters 45-49 (14.04.1972)/47</t>
  </si>
  <si>
    <t>Bazanov Evgeniy</t>
  </si>
  <si>
    <t>1. Bazanov Evgeniy</t>
  </si>
  <si>
    <t>Open (01.08.1991)/28</t>
  </si>
  <si>
    <t>124,10</t>
  </si>
  <si>
    <t>175,0</t>
  </si>
  <si>
    <t>182,5</t>
  </si>
  <si>
    <t>Terentyev Igor</t>
  </si>
  <si>
    <t>1. Terentyev Igor</t>
  </si>
  <si>
    <t>Masters 40-44 (27.10.1979)/40</t>
  </si>
  <si>
    <t>110,50</t>
  </si>
  <si>
    <t>207,5</t>
  </si>
  <si>
    <t>Body Weight Category  140</t>
  </si>
  <si>
    <t>Khalapov Avazbek</t>
  </si>
  <si>
    <t>1. Khalapov Avazbek</t>
  </si>
  <si>
    <t>Open (03.04.1983)/36</t>
  </si>
  <si>
    <t>129,40</t>
  </si>
  <si>
    <t>52</t>
  </si>
  <si>
    <t>52,3320</t>
  </si>
  <si>
    <t>80,6368</t>
  </si>
  <si>
    <t>65,1600</t>
  </si>
  <si>
    <t>56</t>
  </si>
  <si>
    <t>30,1502</t>
  </si>
  <si>
    <t>81,8775</t>
  </si>
  <si>
    <t>126,9235</t>
  </si>
  <si>
    <t>117,4600</t>
  </si>
  <si>
    <t>111,5600</t>
  </si>
  <si>
    <t>140</t>
  </si>
  <si>
    <t>103,1400</t>
  </si>
  <si>
    <t>99,2370</t>
  </si>
  <si>
    <t>81,2630</t>
  </si>
  <si>
    <t>79,6775</t>
  </si>
  <si>
    <t>Sub</t>
  </si>
  <si>
    <t>Sub Masters 33-39</t>
  </si>
  <si>
    <t>103,6440</t>
  </si>
  <si>
    <t>160,1309</t>
  </si>
  <si>
    <t>123,7584</t>
  </si>
  <si>
    <t>111,1992</t>
  </si>
  <si>
    <t>107,7634</t>
  </si>
  <si>
    <t>107,2708</t>
  </si>
  <si>
    <t>Masters 50-54</t>
  </si>
  <si>
    <t>103,4058</t>
  </si>
  <si>
    <t>101,3429</t>
  </si>
  <si>
    <t>Masters 45-49</t>
  </si>
  <si>
    <t>93,9295</t>
  </si>
  <si>
    <t>77,8426</t>
  </si>
  <si>
    <t>WORLD CUP
WPA standart ply benchpress
Москва/Москва 26 - 27 октября 2019 г.</t>
  </si>
  <si>
    <t>Durgesh</t>
  </si>
  <si>
    <t>1. Durgesh</t>
  </si>
  <si>
    <t>Open (07.10.1989)/30</t>
  </si>
  <si>
    <t>60,00</t>
  </si>
  <si>
    <t>101,6000</t>
  </si>
  <si>
    <t>WORLD CUP
WPA multi ply benchpress
Москва/Москва 26 - 27 октября 2019 г.</t>
  </si>
  <si>
    <t>Foad Zareei</t>
  </si>
  <si>
    <t>1. Foad Zareei</t>
  </si>
  <si>
    <t>Open (05.05.1987)/32</t>
  </si>
  <si>
    <t>114,60</t>
  </si>
  <si>
    <t>Seyed Samed</t>
  </si>
  <si>
    <t>1. Seyed Samed</t>
  </si>
  <si>
    <t>Open (22.08.1982)/37</t>
  </si>
  <si>
    <t>129,70</t>
  </si>
  <si>
    <t>275,0</t>
  </si>
  <si>
    <t>285,0</t>
  </si>
  <si>
    <t>305,5</t>
  </si>
  <si>
    <t>Body Weight Category  155</t>
  </si>
  <si>
    <t>Khakpoor Saeid</t>
  </si>
  <si>
    <t>1. Khakpoor Saeid</t>
  </si>
  <si>
    <t>Masters 40-44 (03.07.1977)/42</t>
  </si>
  <si>
    <t>147,70</t>
  </si>
  <si>
    <t>290,0</t>
  </si>
  <si>
    <t>146,8890</t>
  </si>
  <si>
    <t>124,9495</t>
  </si>
  <si>
    <t>144,8607</t>
  </si>
  <si>
    <t>155</t>
  </si>
  <si>
    <t>112,4228</t>
  </si>
  <si>
    <t>WORLD CUP
WPA raw powerlifting
Москва/Москва 26 - 27 октября 2019 г.</t>
  </si>
  <si>
    <t>110,0</t>
  </si>
  <si>
    <t>Kolpakov Pavel</t>
  </si>
  <si>
    <t>1. Kolpakov Pavel</t>
  </si>
  <si>
    <t>Juniors 20-23 (18.06.1998)/21</t>
  </si>
  <si>
    <t>73,20</t>
  </si>
  <si>
    <t>RUS/Rostov-na-Donu</t>
  </si>
  <si>
    <t>122,5</t>
  </si>
  <si>
    <t>82,5</t>
  </si>
  <si>
    <t>85,0</t>
  </si>
  <si>
    <t>Zhaparov Zhalil</t>
  </si>
  <si>
    <t>1. Zhaparov Zhalil</t>
  </si>
  <si>
    <t>Open (15.06.1993)/26</t>
  </si>
  <si>
    <t>2. Tariyal Shashank</t>
  </si>
  <si>
    <t>Burtsev Dmitriy</t>
  </si>
  <si>
    <t>1. Burtsev Dmitriy</t>
  </si>
  <si>
    <t>Masters 40-44 (21.02.1977)/42</t>
  </si>
  <si>
    <t>79,60</t>
  </si>
  <si>
    <t>Rastegar Mohsen</t>
  </si>
  <si>
    <t>1. Rastegar Mohsen</t>
  </si>
  <si>
    <t>Open (28.01.1990)/29</t>
  </si>
  <si>
    <t>99,90</t>
  </si>
  <si>
    <t>-. Savanin Pavel</t>
  </si>
  <si>
    <t>Open (17.10.1988)/31</t>
  </si>
  <si>
    <t>97,40</t>
  </si>
  <si>
    <t>RUS/Obninsk</t>
  </si>
  <si>
    <t>255,0</t>
  </si>
  <si>
    <t>Golubev Egor</t>
  </si>
  <si>
    <t>1. Golubev Egor</t>
  </si>
  <si>
    <t>Masters 45-49 (23.08.1974)/45</t>
  </si>
  <si>
    <t>133,60</t>
  </si>
  <si>
    <t>265,0</t>
  </si>
  <si>
    <t>337,5</t>
  </si>
  <si>
    <t>293,2200</t>
  </si>
  <si>
    <t>555,0</t>
  </si>
  <si>
    <t>348,1515</t>
  </si>
  <si>
    <t>572,5</t>
  </si>
  <si>
    <t>387,8115</t>
  </si>
  <si>
    <t>610,0</t>
  </si>
  <si>
    <t>380,7010</t>
  </si>
  <si>
    <t>590,0</t>
  </si>
  <si>
    <t>327,0370</t>
  </si>
  <si>
    <t>437,5</t>
  </si>
  <si>
    <t>283,1938</t>
  </si>
  <si>
    <t>720,0</t>
  </si>
  <si>
    <t>385,3538</t>
  </si>
  <si>
    <t>570,0</t>
  </si>
  <si>
    <t>365,3226</t>
  </si>
  <si>
    <t>385,0</t>
  </si>
  <si>
    <t>263,4945</t>
  </si>
  <si>
    <t>WORLD CUP
WPA standart ply powerlifting
Москва/Москва 26 - 27 октября 2019 г.</t>
  </si>
  <si>
    <t>40,0</t>
  </si>
  <si>
    <t>Tulyakov Nikita</t>
  </si>
  <si>
    <t>1. Tulyakov Nikita</t>
  </si>
  <si>
    <t>Open (23.02.1988)/31</t>
  </si>
  <si>
    <t>107,70</t>
  </si>
  <si>
    <t>Parfenova Mariya</t>
  </si>
  <si>
    <t>350,0</t>
  </si>
  <si>
    <t>233,8000</t>
  </si>
  <si>
    <t>517,5</t>
  </si>
  <si>
    <t>420,6240</t>
  </si>
  <si>
    <t>625,0</t>
  </si>
  <si>
    <t>337,1875</t>
  </si>
  <si>
    <t>WORLD CUP
WPA multi ply powerlifting
Москва/Москва 26 - 27 октября 2019 г.</t>
  </si>
  <si>
    <t>-. Tarasov Artem</t>
  </si>
  <si>
    <t>Open (31.07.1992)/27</t>
  </si>
  <si>
    <t>88,90</t>
  </si>
  <si>
    <t>562,5</t>
  </si>
  <si>
    <t>349,2562</t>
  </si>
  <si>
    <t>WORLD CUP
AWPA raw deadlift
Москва/Москва 26 - 27 октября 2019 г.</t>
  </si>
  <si>
    <t>Zhemerekina Mariya</t>
  </si>
  <si>
    <t>1. Zhemerekina Mariya</t>
  </si>
  <si>
    <t>Masters 40-44 (02.09.1978)/41</t>
  </si>
  <si>
    <t>59,60</t>
  </si>
  <si>
    <t>RUS/Lytkarino</t>
  </si>
  <si>
    <t>97,5</t>
  </si>
  <si>
    <t>Kurdyukova Ekaterina</t>
  </si>
  <si>
    <t>1. Kurdyukova Ekaterina</t>
  </si>
  <si>
    <t>Open (07.10.1981)/38</t>
  </si>
  <si>
    <t>81,80</t>
  </si>
  <si>
    <t>Tulyakov N.</t>
  </si>
  <si>
    <t>Novikova Yuliya</t>
  </si>
  <si>
    <t>2. Novikova Yuliya</t>
  </si>
  <si>
    <t>Open (23.02.1989)/30</t>
  </si>
  <si>
    <t>80,00</t>
  </si>
  <si>
    <t>R-36 Sarmat</t>
  </si>
  <si>
    <t>107,5</t>
  </si>
  <si>
    <t>Body Weight Category  100+</t>
  </si>
  <si>
    <t>Safronova Nataliya</t>
  </si>
  <si>
    <t>1. Safronova Nataliya</t>
  </si>
  <si>
    <t>Open (24.01.1990)/29</t>
  </si>
  <si>
    <t>108,50</t>
  </si>
  <si>
    <t>Yakovlev Roman</t>
  </si>
  <si>
    <t>1. Yakovlev Roman</t>
  </si>
  <si>
    <t>Juniors 20-23 (12.07.1996)/23</t>
  </si>
  <si>
    <t>74,30</t>
  </si>
  <si>
    <t>202,5</t>
  </si>
  <si>
    <t>-. Nersisyan Armen</t>
  </si>
  <si>
    <t>Open (02.06.1994)/25</t>
  </si>
  <si>
    <t>82,00</t>
  </si>
  <si>
    <t>Sitenskikh Nikolay</t>
  </si>
  <si>
    <t>1. Sitenskikh Nikolay</t>
  </si>
  <si>
    <t>Masters 45-49 (27.05.1974)/45</t>
  </si>
  <si>
    <t>79,40</t>
  </si>
  <si>
    <t>Kornilenko Aleksandr</t>
  </si>
  <si>
    <t>1. Kornilenko Aleksandr</t>
  </si>
  <si>
    <t>Masters 40-44 (27.09.1975)/44</t>
  </si>
  <si>
    <t>89,80</t>
  </si>
  <si>
    <t>212,5</t>
  </si>
  <si>
    <t>222,5</t>
  </si>
  <si>
    <t>Belov Anton</t>
  </si>
  <si>
    <t>1. Belov Anton</t>
  </si>
  <si>
    <t>Open (24.03.1985)/34</t>
  </si>
  <si>
    <t>267,5</t>
  </si>
  <si>
    <t>Bogrintsev Vladimir</t>
  </si>
  <si>
    <t>2. Bogrintsev Vladimir</t>
  </si>
  <si>
    <t>Open (12.05.1992)/27</t>
  </si>
  <si>
    <t>98,40</t>
  </si>
  <si>
    <t>217,5</t>
  </si>
  <si>
    <t>Fomin Vladimir</t>
  </si>
  <si>
    <t>3. Fomin Vladimir</t>
  </si>
  <si>
    <t>Open (20.07.1994)/25</t>
  </si>
  <si>
    <t>Umerenkov Igor</t>
  </si>
  <si>
    <t>1. Umerenkov Igor</t>
  </si>
  <si>
    <t>Open (13.09.1980)/39</t>
  </si>
  <si>
    <t>109,40</t>
  </si>
  <si>
    <t>RUS/Kursk</t>
  </si>
  <si>
    <t>Mashoshin Oleg</t>
  </si>
  <si>
    <t>2. Mashoshin Oleg</t>
  </si>
  <si>
    <t>Open (21.02.1983)/36</t>
  </si>
  <si>
    <t>105,90</t>
  </si>
  <si>
    <t>Sub Masters 33-39 (13.09.1980)/39</t>
  </si>
  <si>
    <t>Kislitsin Ivan</t>
  </si>
  <si>
    <t>1. Kislitsin Ivan</t>
  </si>
  <si>
    <t>123,20</t>
  </si>
  <si>
    <t>101,6100</t>
  </si>
  <si>
    <t>100+</t>
  </si>
  <si>
    <t>77,4495</t>
  </si>
  <si>
    <t>74,0137</t>
  </si>
  <si>
    <t>80,0432</t>
  </si>
  <si>
    <t>99,4650</t>
  </si>
  <si>
    <t>127,1860</t>
  </si>
  <si>
    <t>147,7300</t>
  </si>
  <si>
    <t>144,1180</t>
  </si>
  <si>
    <t>121,3867</t>
  </si>
  <si>
    <t>116,4030</t>
  </si>
  <si>
    <t>113,8620</t>
  </si>
  <si>
    <t>134,4499</t>
  </si>
  <si>
    <t>130,0547</t>
  </si>
  <si>
    <t>WORLD CUP
AWPA multi ply deadlift
Москва/Москва 26 - 27 октября 2019 г.</t>
  </si>
  <si>
    <t>Enina Elena</t>
  </si>
  <si>
    <t>1. Enina Elena</t>
  </si>
  <si>
    <t>Open (10.05.1989)/30</t>
  </si>
  <si>
    <t>50,90</t>
  </si>
  <si>
    <t>161,0</t>
  </si>
  <si>
    <t>Umerenkova Yulia</t>
  </si>
  <si>
    <t>1. Umerenkova Yulia</t>
  </si>
  <si>
    <t>Open (10.12.1980)/38</t>
  </si>
  <si>
    <t>72,30</t>
  </si>
  <si>
    <t>157,6960</t>
  </si>
  <si>
    <t>148,1800</t>
  </si>
  <si>
    <t>WORLD CUP
AWPA raw benchpress
Москва/Москва 26 - 27 октября 2019 г.</t>
  </si>
  <si>
    <t>Lebedeva Mariya</t>
  </si>
  <si>
    <t>1. Lebedeva Mariya</t>
  </si>
  <si>
    <t>Open (21.11.1980)/38</t>
  </si>
  <si>
    <t>55,40</t>
  </si>
  <si>
    <t>62,5</t>
  </si>
  <si>
    <t>65,0</t>
  </si>
  <si>
    <t>67,5</t>
  </si>
  <si>
    <t>Serova Tatyana</t>
  </si>
  <si>
    <t>2. Serova Tatyana</t>
  </si>
  <si>
    <t>Open (07.04.1989)/30</t>
  </si>
  <si>
    <t>55,80</t>
  </si>
  <si>
    <t>55,0</t>
  </si>
  <si>
    <t>Belova Mariya</t>
  </si>
  <si>
    <t>1. Belova Mariya</t>
  </si>
  <si>
    <t>Open (09.09.1986)/33</t>
  </si>
  <si>
    <t>59,80</t>
  </si>
  <si>
    <t>57,5</t>
  </si>
  <si>
    <t>Stepnova Anastasiya</t>
  </si>
  <si>
    <t>1. Stepnova Anastasiya</t>
  </si>
  <si>
    <t>Open (29.05.1988)/31</t>
  </si>
  <si>
    <t>65,20</t>
  </si>
  <si>
    <t>Kotlyarova Natalya</t>
  </si>
  <si>
    <t>1. Kotlyarova Natalya</t>
  </si>
  <si>
    <t>Masters 45-49 (31.12.1972)/46</t>
  </si>
  <si>
    <t>RUS/Moskovskiy</t>
  </si>
  <si>
    <t>Fedunina Alisa</t>
  </si>
  <si>
    <t>1. Fedunina Alisa</t>
  </si>
  <si>
    <t>Juniors 20-23 (24.07.1997)/22</t>
  </si>
  <si>
    <t>RUS/Podolsk</t>
  </si>
  <si>
    <t>Kantsurov Sergey</t>
  </si>
  <si>
    <t>1. Kantsurov Sergey</t>
  </si>
  <si>
    <t>Open (14.03.1991)/28</t>
  </si>
  <si>
    <t>65,40</t>
  </si>
  <si>
    <t>137,5</t>
  </si>
  <si>
    <t>Melnikov Aleksey</t>
  </si>
  <si>
    <t>2. Melnikov Aleksey</t>
  </si>
  <si>
    <t>Open (06.09.1993)/26</t>
  </si>
  <si>
    <t>66,30</t>
  </si>
  <si>
    <t>Gusev Egor</t>
  </si>
  <si>
    <t>1. Gusev Egor</t>
  </si>
  <si>
    <t>Teen 13-15 (17.06.2005)/14</t>
  </si>
  <si>
    <t>71,90</t>
  </si>
  <si>
    <t>RUS/Chekhov</t>
  </si>
  <si>
    <t>95,0</t>
  </si>
  <si>
    <t>Salnikov Vladislav</t>
  </si>
  <si>
    <t>1. Salnikov Vladislav</t>
  </si>
  <si>
    <t>Teen 16-17 (16.11.2002)/16</t>
  </si>
  <si>
    <t>73,70</t>
  </si>
  <si>
    <t>117,5</t>
  </si>
  <si>
    <t>Kopnev Yaroslav</t>
  </si>
  <si>
    <t>1. Kopnev Yaroslav</t>
  </si>
  <si>
    <t>Teen 18-19 (14.01.2000)/19</t>
  </si>
  <si>
    <t>82,10</t>
  </si>
  <si>
    <t>87,5</t>
  </si>
  <si>
    <t>Trofimov Pavel</t>
  </si>
  <si>
    <t>1. Trofimov Pavel</t>
  </si>
  <si>
    <t>Open (06.06.1987)/32</t>
  </si>
  <si>
    <t>78,50</t>
  </si>
  <si>
    <t>Mescheryakov Andrey</t>
  </si>
  <si>
    <t>1. Mescheryakov Andrey</t>
  </si>
  <si>
    <t>Masters 50-54 (28.10.1965)/53</t>
  </si>
  <si>
    <t>78,60</t>
  </si>
  <si>
    <t>RUS/Korolev</t>
  </si>
  <si>
    <t>Trofimov Aleksandr</t>
  </si>
  <si>
    <t>1. Trofimov Aleksandr</t>
  </si>
  <si>
    <t>Open (22.10.1992)/27</t>
  </si>
  <si>
    <t>87,80</t>
  </si>
  <si>
    <t>RUS/Irkutsk</t>
  </si>
  <si>
    <t>Parshin Igor</t>
  </si>
  <si>
    <t>2. Parshin Igor</t>
  </si>
  <si>
    <t>Open (23.09.1988)/31</t>
  </si>
  <si>
    <t>-. Gorychev Pavel</t>
  </si>
  <si>
    <t>Open (02.02.1989)/30</t>
  </si>
  <si>
    <t>Pletnev Matvey</t>
  </si>
  <si>
    <t>1. Pletnev Matvey</t>
  </si>
  <si>
    <t>Teen 18-19 (14.12.2000)/18</t>
  </si>
  <si>
    <t>98,20</t>
  </si>
  <si>
    <t>Volkov Vyacheslav</t>
  </si>
  <si>
    <t>2. Volkov Vyacheslav</t>
  </si>
  <si>
    <t>Open (13.11.1971)/47</t>
  </si>
  <si>
    <t>95,80</t>
  </si>
  <si>
    <t>Vasilyev Vladislav</t>
  </si>
  <si>
    <t>3. Vasilyev Vladislav</t>
  </si>
  <si>
    <t>Open (30.06.1990)/29</t>
  </si>
  <si>
    <t>92,10</t>
  </si>
  <si>
    <t>177,5</t>
  </si>
  <si>
    <t>Golenkov Oleg</t>
  </si>
  <si>
    <t>4. Golenkov Oleg</t>
  </si>
  <si>
    <t>Open (29.08.1983)/36</t>
  </si>
  <si>
    <t>97,70</t>
  </si>
  <si>
    <t>162,5</t>
  </si>
  <si>
    <t>Dementyev Vladimir</t>
  </si>
  <si>
    <t>5. Dementyev Vladimir</t>
  </si>
  <si>
    <t>Open (23.04.1981)/38</t>
  </si>
  <si>
    <t>98,90</t>
  </si>
  <si>
    <t>RUS/Egoryevsk</t>
  </si>
  <si>
    <t>Chekmaryov Sergey</t>
  </si>
  <si>
    <t>6. Chekmaryov Sergey</t>
  </si>
  <si>
    <t>Open (01.06.1995)/24</t>
  </si>
  <si>
    <t>Skoblikov Aleksandr</t>
  </si>
  <si>
    <t>1. Skoblikov Aleksandr</t>
  </si>
  <si>
    <t>Masters 40-44 (09.05.1977)/42</t>
  </si>
  <si>
    <t>98,80</t>
  </si>
  <si>
    <t>RUS/Odintsovo</t>
  </si>
  <si>
    <t>152,5</t>
  </si>
  <si>
    <t>1. Volkov Vyacheslav</t>
  </si>
  <si>
    <t>Masters 45-49 (13.11.1971)/47</t>
  </si>
  <si>
    <t>Kulemin Andrey</t>
  </si>
  <si>
    <t>1. Kulemin Andrey</t>
  </si>
  <si>
    <t>Masters 55-59 (28.08.1964)/55</t>
  </si>
  <si>
    <t>96,70</t>
  </si>
  <si>
    <t>RUS/Kozmodemyansk</t>
  </si>
  <si>
    <t>Smirnov Leonid</t>
  </si>
  <si>
    <t>1. Smirnov Leonid</t>
  </si>
  <si>
    <t>Masters 60-64 (26.09.1957)/62</t>
  </si>
  <si>
    <t>91,20</t>
  </si>
  <si>
    <t>Bulgak Viorel</t>
  </si>
  <si>
    <t>1. Bulgak Viorel</t>
  </si>
  <si>
    <t>Open (10.10.1985)/34</t>
  </si>
  <si>
    <t>109,90</t>
  </si>
  <si>
    <t>Fominykh Aleksey</t>
  </si>
  <si>
    <t>2. Fominykh Aleksey</t>
  </si>
  <si>
    <t>Open (04.03.1989)/30</t>
  </si>
  <si>
    <t>106,40</t>
  </si>
  <si>
    <t>167,5</t>
  </si>
  <si>
    <t>3. Umerenkov Igor</t>
  </si>
  <si>
    <t>Kan Maksim</t>
  </si>
  <si>
    <t>4. Kan Maksim</t>
  </si>
  <si>
    <t>Open (29.02.1992)/27</t>
  </si>
  <si>
    <t>106,70</t>
  </si>
  <si>
    <t>5. Mashoshin Oleg</t>
  </si>
  <si>
    <t>Markov Aleksey</t>
  </si>
  <si>
    <t>1. Markov Aleksey</t>
  </si>
  <si>
    <t>Masters 40-44 (26.02.1977)/42</t>
  </si>
  <si>
    <t>108,80</t>
  </si>
  <si>
    <t>Potapenko Sergey</t>
  </si>
  <si>
    <t>1. Potapenko Sergey</t>
  </si>
  <si>
    <t>Open (12.11.1988)/30</t>
  </si>
  <si>
    <t>112,00</t>
  </si>
  <si>
    <t>Bogdanov Igor</t>
  </si>
  <si>
    <t>1. Bogdanov Igor</t>
  </si>
  <si>
    <t>Masters 45-49 (11.02.1972)/47</t>
  </si>
  <si>
    <t>123,80</t>
  </si>
  <si>
    <t>EST/Estoniya</t>
  </si>
  <si>
    <t>187,5</t>
  </si>
  <si>
    <t>Bichkov Igor</t>
  </si>
  <si>
    <t>2. Bichkov Igor</t>
  </si>
  <si>
    <t>Masters 45-49 (18.06.1970)/49</t>
  </si>
  <si>
    <t>117,50</t>
  </si>
  <si>
    <t>dinamo 32</t>
  </si>
  <si>
    <t>-. Usoltsev Evgeniy</t>
  </si>
  <si>
    <t>Masters 45-49 (01.02.1970)/49</t>
  </si>
  <si>
    <t>122,10</t>
  </si>
  <si>
    <t>Ogloblin Denis</t>
  </si>
  <si>
    <t>1. Ogloblin Denis</t>
  </si>
  <si>
    <t>Masters 50-54 (12.05.1967)/52</t>
  </si>
  <si>
    <t>117,60</t>
  </si>
  <si>
    <t>Dinamo-32 - OSN Saturn</t>
  </si>
  <si>
    <t>Chubarov Vladimir</t>
  </si>
  <si>
    <t>1. Chubarov Vladimir</t>
  </si>
  <si>
    <t>Masters 55-59 (03.04.1964)/55</t>
  </si>
  <si>
    <t>124,40</t>
  </si>
  <si>
    <t>38,7200</t>
  </si>
  <si>
    <t>59,7610</t>
  </si>
  <si>
    <t>52,1365</t>
  </si>
  <si>
    <t>45,7000</t>
  </si>
  <si>
    <t>45,2970</t>
  </si>
  <si>
    <t>37,6210</t>
  </si>
  <si>
    <t>Teen 16-17</t>
  </si>
  <si>
    <t>85,8967</t>
  </si>
  <si>
    <t>65,6355</t>
  </si>
  <si>
    <t>65,3030</t>
  </si>
  <si>
    <t>63,6935</t>
  </si>
  <si>
    <t>112,9170</t>
  </si>
  <si>
    <t>110,8600</t>
  </si>
  <si>
    <t>108,6615</t>
  </si>
  <si>
    <t>108,1755</t>
  </si>
  <si>
    <t>104,5990</t>
  </si>
  <si>
    <t>102,7262</t>
  </si>
  <si>
    <t>98,1750</t>
  </si>
  <si>
    <t>95,1830</t>
  </si>
  <si>
    <t>89,3310</t>
  </si>
  <si>
    <t>88,2475</t>
  </si>
  <si>
    <t>87,2950</t>
  </si>
  <si>
    <t>86,3040</t>
  </si>
  <si>
    <t>86,2265</t>
  </si>
  <si>
    <t>83,8550</t>
  </si>
  <si>
    <t>75,7732</t>
  </si>
  <si>
    <t>74,5525</t>
  </si>
  <si>
    <t>71,9257</t>
  </si>
  <si>
    <t>132,0094</t>
  </si>
  <si>
    <t>126,0388</t>
  </si>
  <si>
    <t>122,3165</t>
  </si>
  <si>
    <t>121,2777</t>
  </si>
  <si>
    <t>114,2221</t>
  </si>
  <si>
    <t>107,0228</t>
  </si>
  <si>
    <t>105,9458</t>
  </si>
  <si>
    <t>98,5653</t>
  </si>
  <si>
    <t>88,5170</t>
  </si>
  <si>
    <t>84,1405</t>
  </si>
  <si>
    <t>WORLD CUP
AWPA single ply benchpress
Москва/Москва 26 - 27 октября 2019 г.</t>
  </si>
  <si>
    <t>Schuplov Aleksey</t>
  </si>
  <si>
    <t>1. Schuplov Aleksey</t>
  </si>
  <si>
    <t>Masters 40-44 (11.09.1979)/40</t>
  </si>
  <si>
    <t>RUS/Ukhta</t>
  </si>
  <si>
    <t>247,5</t>
  </si>
  <si>
    <t>122,8920</t>
  </si>
  <si>
    <t>WORLD CUP
AWPA multi ply benchpress
Москва/Москва 26 - 27 октября 2019 г.</t>
  </si>
  <si>
    <t>Akimov Denis</t>
  </si>
  <si>
    <t>1. Akimov Denis</t>
  </si>
  <si>
    <t>Open (28.07.1988)/31</t>
  </si>
  <si>
    <t>149,1360</t>
  </si>
  <si>
    <t>WORLD CUP
AWPA raw powerlifting
Москва/Москва 26 - 27 октября 2019 г.</t>
  </si>
  <si>
    <t>Body Weight Category  48</t>
  </si>
  <si>
    <t>Kuznetsova Kseniya</t>
  </si>
  <si>
    <t>1. Kuznetsova Kseniya</t>
  </si>
  <si>
    <t>Open (01.11.1989)/29</t>
  </si>
  <si>
    <t>48,00</t>
  </si>
  <si>
    <t>92,5</t>
  </si>
  <si>
    <t>Vorobyeva Tatyana</t>
  </si>
  <si>
    <t>2. Vorobyeva Tatyana</t>
  </si>
  <si>
    <t>Open (29.11.1986)/32</t>
  </si>
  <si>
    <t>80,0</t>
  </si>
  <si>
    <t>37,5</t>
  </si>
  <si>
    <t>Vakhlamkina Olga</t>
  </si>
  <si>
    <t>3. Vakhlamkina Olga</t>
  </si>
  <si>
    <t>Open (19.02.1981)/38</t>
  </si>
  <si>
    <t>47,90</t>
  </si>
  <si>
    <t>RUS/Noginsk</t>
  </si>
  <si>
    <t>45,0</t>
  </si>
  <si>
    <t>-. Nesterova Alina</t>
  </si>
  <si>
    <t>Juniors 20-23 (06.02.1996)/23</t>
  </si>
  <si>
    <t>59,10</t>
  </si>
  <si>
    <t>42,5</t>
  </si>
  <si>
    <t>Polkhova Victoriya</t>
  </si>
  <si>
    <t>1. Polkhova Victoriya</t>
  </si>
  <si>
    <t>Open (22.07.1995)/24</t>
  </si>
  <si>
    <t>59,00</t>
  </si>
  <si>
    <t>72,5</t>
  </si>
  <si>
    <t>77,5</t>
  </si>
  <si>
    <t>Sidorova Olga</t>
  </si>
  <si>
    <t>1. Sidorova Olga</t>
  </si>
  <si>
    <t>Masters 50-54 (29.04.1966)/53</t>
  </si>
  <si>
    <t>Mamedova Gulnar</t>
  </si>
  <si>
    <t>1. Mamedova Gulnar</t>
  </si>
  <si>
    <t>Open (12.08.1983)/36</t>
  </si>
  <si>
    <t>65,00</t>
  </si>
  <si>
    <t>Smetankin Aleksey</t>
  </si>
  <si>
    <t>1. Smetankin Aleksey</t>
  </si>
  <si>
    <t>Children 11-12 (26.09.2008)/11</t>
  </si>
  <si>
    <t>60,70</t>
  </si>
  <si>
    <t>Talpa Stefan</t>
  </si>
  <si>
    <t>1. Talpa Stefan</t>
  </si>
  <si>
    <t>Teen 18-19 (14.08.2001)/18</t>
  </si>
  <si>
    <t>70,40</t>
  </si>
  <si>
    <t>Pisarenko Evgeniy</t>
  </si>
  <si>
    <t>1. Pisarenko Evgeniy</t>
  </si>
  <si>
    <t>Open (15.09.1984)/35</t>
  </si>
  <si>
    <t>74,00</t>
  </si>
  <si>
    <t>Alekseev Aleksey</t>
  </si>
  <si>
    <t>1. Alekseev Aleksey</t>
  </si>
  <si>
    <t>Masters 45-49 (10.04.1972)/47</t>
  </si>
  <si>
    <t>73,40</t>
  </si>
  <si>
    <t>RUS/Zheleznodorozhnyy</t>
  </si>
  <si>
    <t>Sgibnev Anton</t>
  </si>
  <si>
    <t>1. Sgibnev Anton</t>
  </si>
  <si>
    <t>Open (26.04.1986)/33</t>
  </si>
  <si>
    <t>89,20</t>
  </si>
  <si>
    <t>Pertenava Dmitriy</t>
  </si>
  <si>
    <t>2. Pertenava Dmitriy</t>
  </si>
  <si>
    <t>Open (25.03.1990)/29</t>
  </si>
  <si>
    <t>89,60</t>
  </si>
  <si>
    <t>Osipenko Aleksey</t>
  </si>
  <si>
    <t>1. Osipenko Aleksey</t>
  </si>
  <si>
    <t>Open (09.05.1985)/34</t>
  </si>
  <si>
    <t>Alov Evgeniy</t>
  </si>
  <si>
    <t>2. Alov Evgeniy</t>
  </si>
  <si>
    <t>Open (30.10.1984)/34</t>
  </si>
  <si>
    <t>107,50</t>
  </si>
  <si>
    <t>48</t>
  </si>
  <si>
    <t>252,5</t>
  </si>
  <si>
    <t>260,9840</t>
  </si>
  <si>
    <t>237,7280</t>
  </si>
  <si>
    <t>227,5</t>
  </si>
  <si>
    <t>235,5308</t>
  </si>
  <si>
    <t>345,0</t>
  </si>
  <si>
    <t>233,7030</t>
  </si>
  <si>
    <t>262,5</t>
  </si>
  <si>
    <t>211,1025</t>
  </si>
  <si>
    <t>181,0438</t>
  </si>
  <si>
    <t>287,5</t>
  </si>
  <si>
    <t>321,3308</t>
  </si>
  <si>
    <t>Children</t>
  </si>
  <si>
    <t>Children 11-12</t>
  </si>
  <si>
    <t>170,7013</t>
  </si>
  <si>
    <t>432,5</t>
  </si>
  <si>
    <t>302,6202</t>
  </si>
  <si>
    <t>500,0</t>
  </si>
  <si>
    <t>261,7500</t>
  </si>
  <si>
    <t>687,5</t>
  </si>
  <si>
    <t>404,5938</t>
  </si>
  <si>
    <t>692,5</t>
  </si>
  <si>
    <t>372,0110</t>
  </si>
  <si>
    <t>605,0</t>
  </si>
  <si>
    <t>355,0745</t>
  </si>
  <si>
    <t>630,0</t>
  </si>
  <si>
    <t>351,6030</t>
  </si>
  <si>
    <t>520,0</t>
  </si>
  <si>
    <t>349,2320</t>
  </si>
  <si>
    <t>537,5</t>
  </si>
  <si>
    <t>290,1425</t>
  </si>
  <si>
    <t>405,0</t>
  </si>
  <si>
    <t>298,9678</t>
  </si>
  <si>
    <t>435,0</t>
  </si>
  <si>
    <t>290,1220</t>
  </si>
  <si>
    <t>WORLD CUP
AWPA OVERHEAD BENCH
Москва/Москва 26 - 27 октября 2019 г.</t>
  </si>
  <si>
    <t>Overhead press</t>
  </si>
  <si>
    <t>Kuliev Rafael</t>
  </si>
  <si>
    <t>1. Kuliev Rafael</t>
  </si>
  <si>
    <t>Open (13.09.1993)/26</t>
  </si>
  <si>
    <t>85,20</t>
  </si>
  <si>
    <t>RUS/Ulan-Ude</t>
  </si>
  <si>
    <t>51,5015</t>
  </si>
  <si>
    <t>50,2740</t>
  </si>
  <si>
    <t>WORLD CUP
WPA OVERHEAD BENCH
Москва/Москва 26 - 27 октября 2019 г.</t>
  </si>
  <si>
    <t>Mamakeev Chyngyz</t>
  </si>
  <si>
    <t>1. Mamakeev Chyngyz</t>
  </si>
  <si>
    <t>Open (12.12.1994)/24</t>
  </si>
  <si>
    <t>73,80</t>
  </si>
  <si>
    <t>Murtazaev Khamit-Pasha</t>
  </si>
  <si>
    <t>1. Murtazaev Khamit-Pasha</t>
  </si>
  <si>
    <t>Open (10.01.1995)/24</t>
  </si>
  <si>
    <t>47,1100</t>
  </si>
  <si>
    <t>44,1375</t>
  </si>
  <si>
    <t>WORLD CUP
AWPA Strict Curl
Москва/Москва 26 - 27 октября 2019 г.</t>
  </si>
  <si>
    <t>Biceps curl</t>
  </si>
  <si>
    <t>1. Vasilyev Vladislav</t>
  </si>
  <si>
    <t>Zhbankov Sergey</t>
  </si>
  <si>
    <t>2. Zhbankov Sergey</t>
  </si>
  <si>
    <t>Open (20.05.1984)/35</t>
  </si>
  <si>
    <t>98,60</t>
  </si>
  <si>
    <t>26,1750</t>
  </si>
  <si>
    <t>40,4250</t>
  </si>
  <si>
    <t>40,1125</t>
  </si>
  <si>
    <t>39,0250</t>
  </si>
  <si>
    <t>35,0147</t>
  </si>
  <si>
    <t>27,9300</t>
  </si>
  <si>
    <t>WORLD CUP
WPA Strict Curl
Москва/Москва 26 - 27 октября 2019 г.</t>
  </si>
  <si>
    <t>Molodtsov Alexey</t>
  </si>
  <si>
    <t>1. Molodtsov Alexey</t>
  </si>
  <si>
    <t>Open (10.04.1971)/48</t>
  </si>
  <si>
    <t>97,90</t>
  </si>
  <si>
    <t>RUS/Yoshkar-Ola</t>
  </si>
  <si>
    <t>Masters 45-49 (10.04.1971)/48</t>
  </si>
  <si>
    <t>50,4750</t>
  </si>
  <si>
    <t>39,7238</t>
  </si>
  <si>
    <t>33,5640</t>
  </si>
  <si>
    <t>35,9875</t>
  </si>
  <si>
    <t>38,6068</t>
  </si>
  <si>
    <t>37,4910</t>
  </si>
  <si>
    <t>1. Bogrintsev Vladimir</t>
  </si>
  <si>
    <t>198,3869</t>
  </si>
  <si>
    <t>295,0</t>
  </si>
  <si>
    <t>154,4325</t>
  </si>
  <si>
    <t>357,5</t>
  </si>
  <si>
    <t>199,5207</t>
  </si>
  <si>
    <t>WORLD CUP
WPA PUSH &amp; PULL RAW
Москва/Москва 26 - 27 октября 2019 г.</t>
  </si>
  <si>
    <t>Lapin-Kratasyuk Evgeniy</t>
  </si>
  <si>
    <t>1. Lapin-Kratasyuk Evgeniy</t>
  </si>
  <si>
    <t>123,40</t>
  </si>
  <si>
    <t>RUS/Balashikha</t>
  </si>
  <si>
    <t>475,0</t>
  </si>
  <si>
    <t>248,5200</t>
  </si>
  <si>
    <t>230,0323</t>
  </si>
  <si>
    <t>Gloss</t>
  </si>
  <si>
    <t>230,0w</t>
  </si>
  <si>
    <t>240,0w</t>
  </si>
  <si>
    <t>260,0w</t>
  </si>
  <si>
    <t>155,1960</t>
  </si>
  <si>
    <t>152,3210</t>
  </si>
  <si>
    <t>WORLD CUP
AWPA PUSH &amp; PULL RAW
Москва/Москва 26 - 27 октября 2019 г.</t>
  </si>
  <si>
    <t>WORLD CUP
AWPА standart soft eq. benchpress
Москва/Москва 26 - 28 октября 2019 г.</t>
  </si>
  <si>
    <t>Sub Masters 33-39 (10.12.1980)/38</t>
  </si>
  <si>
    <t>136,3969</t>
  </si>
  <si>
    <t>Petrov Aleksey</t>
  </si>
  <si>
    <t>161,1088</t>
  </si>
  <si>
    <t>113,3500</t>
  </si>
  <si>
    <t>Fritsler Andrey</t>
  </si>
  <si>
    <t>143,3372</t>
  </si>
  <si>
    <t>Verzilov Sergey</t>
  </si>
  <si>
    <t>156,3671</t>
  </si>
  <si>
    <t>Shcheslavskiy Stanislav</t>
  </si>
  <si>
    <t>168,0312</t>
  </si>
  <si>
    <t>312,5</t>
  </si>
  <si>
    <t>Demidov Dmitriy</t>
  </si>
  <si>
    <t>94,2687</t>
  </si>
  <si>
    <t>Butsnov Ilya</t>
  </si>
  <si>
    <t>137,00</t>
  </si>
  <si>
    <t>Masters 40-44 (25.03.1975)/44</t>
  </si>
  <si>
    <t>1. Petrov Aleksey</t>
  </si>
  <si>
    <t>312,5w</t>
  </si>
  <si>
    <t>305,0w</t>
  </si>
  <si>
    <t>132,70</t>
  </si>
  <si>
    <t>Open (04.10.1998)/21</t>
  </si>
  <si>
    <t>1. Demidov Dmitriy</t>
  </si>
  <si>
    <t>Juniors 20-23 (04.10.1998)/21</t>
  </si>
  <si>
    <t>118,40</t>
  </si>
  <si>
    <t>Masters 50-54 (09.03.1968)/51</t>
  </si>
  <si>
    <t>-. Veles Evgeniy</t>
  </si>
  <si>
    <t>RUS/Kaliningrad</t>
  </si>
  <si>
    <t>107,20</t>
  </si>
  <si>
    <t>Open (11.04.1984)/35</t>
  </si>
  <si>
    <t>1. Fritsler Andrey</t>
  </si>
  <si>
    <t>275,0w</t>
  </si>
  <si>
    <t>267,5w</t>
  </si>
  <si>
    <t>220,0w</t>
  </si>
  <si>
    <t>Open (15.10.1986)/33</t>
  </si>
  <si>
    <t>2. Verzilov Sergey</t>
  </si>
  <si>
    <t>272,5</t>
  </si>
  <si>
    <t>242,5w</t>
  </si>
  <si>
    <t>98,70</t>
  </si>
  <si>
    <t>Open (15.04.1981)/38</t>
  </si>
  <si>
    <t>1. Shcheslavskiy Stanislav</t>
  </si>
  <si>
    <t>125,0w</t>
  </si>
  <si>
    <t>120,0w</t>
  </si>
  <si>
    <t>66,90</t>
  </si>
  <si>
    <t>Teen 16-17 (30.07.2002)/17</t>
  </si>
  <si>
    <t>1. Butsnov Ilya</t>
  </si>
  <si>
    <t>WORLD CUP
AWPC st. soft eq. benchpress
Москва/Москва 26 - 28 октября 2019 г.</t>
  </si>
  <si>
    <t>156,2908</t>
  </si>
  <si>
    <t>140+</t>
  </si>
  <si>
    <t>176,7507</t>
  </si>
  <si>
    <t>302,5</t>
  </si>
  <si>
    <t>Mozgunov Evgeniy</t>
  </si>
  <si>
    <t>104,4640</t>
  </si>
  <si>
    <t>Gulati Arjun</t>
  </si>
  <si>
    <t>121,7188</t>
  </si>
  <si>
    <t>Sokolovskiy Nikolay</t>
  </si>
  <si>
    <t>168,6495</t>
  </si>
  <si>
    <t>Ushakov Roman</t>
  </si>
  <si>
    <t>178,7175</t>
  </si>
  <si>
    <t>325,0</t>
  </si>
  <si>
    <t>Oreshkin Aleksandr</t>
  </si>
  <si>
    <t>190,5647</t>
  </si>
  <si>
    <t>Saydentsal Oleg</t>
  </si>
  <si>
    <t>290,0w</t>
  </si>
  <si>
    <t>270,0w</t>
  </si>
  <si>
    <t>Body Weight Category  140+</t>
  </si>
  <si>
    <t>325,0w</t>
  </si>
  <si>
    <t>320,0w</t>
  </si>
  <si>
    <t>305,0</t>
  </si>
  <si>
    <t>121,00</t>
  </si>
  <si>
    <t>Open (21.08.1982)/37</t>
  </si>
  <si>
    <t>1. Oreshkin Aleksandr</t>
  </si>
  <si>
    <t>342,5</t>
  </si>
  <si>
    <t>335,0w</t>
  </si>
  <si>
    <t>106,00</t>
  </si>
  <si>
    <t>Open (14.03.1975)/44</t>
  </si>
  <si>
    <t>1. Saydentsal Oleg</t>
  </si>
  <si>
    <t>302,5w</t>
  </si>
  <si>
    <t>Masters 40-44 (20.02.1979)/40</t>
  </si>
  <si>
    <t>1. Mozgunov Evgeniy</t>
  </si>
  <si>
    <t>190,0w</t>
  </si>
  <si>
    <t>95,40</t>
  </si>
  <si>
    <t>Open (16.07.1992)/27</t>
  </si>
  <si>
    <t>2. Sokolovskiy Nikolay</t>
  </si>
  <si>
    <t>280,0w</t>
  </si>
  <si>
    <t>Open (27.11.1984)/34</t>
  </si>
  <si>
    <t>1. Ushakov Roman</t>
  </si>
  <si>
    <t>160,0w</t>
  </si>
  <si>
    <t>150,0w</t>
  </si>
  <si>
    <t>140,0w</t>
  </si>
  <si>
    <t>80,90</t>
  </si>
  <si>
    <t>Open (21.04.1986)/33</t>
  </si>
  <si>
    <t>1. Gulati Arjun</t>
  </si>
  <si>
    <t>WORLD CUP
WPC st. soft eq. benchpress
Москва/Москва 26 - 28 октября 2019 г.</t>
  </si>
  <si>
    <t>933,5999</t>
  </si>
  <si>
    <t>1007,5</t>
  </si>
  <si>
    <t>31,0</t>
  </si>
  <si>
    <t>32,5w</t>
  </si>
  <si>
    <t>Rpt</t>
  </si>
  <si>
    <t>Weight</t>
  </si>
  <si>
    <t>Multi.rpt. benchpress</t>
  </si>
  <si>
    <t>WORLD CUP
Multy-repeat BP 1/2 bw. AWPC
Москва/Москва 26 - 27 октября 2019 г.</t>
  </si>
  <si>
    <t>878,7750</t>
  </si>
  <si>
    <t>1500,0</t>
  </si>
  <si>
    <t>Masters 40-49</t>
  </si>
  <si>
    <t>1017,6126</t>
  </si>
  <si>
    <t>1202,5</t>
  </si>
  <si>
    <t>Masters 60+</t>
  </si>
  <si>
    <t>1539,7188</t>
  </si>
  <si>
    <t>2497,5</t>
  </si>
  <si>
    <t>Votintsev Ilya</t>
  </si>
  <si>
    <t>1286,5600</t>
  </si>
  <si>
    <t>2200,0</t>
  </si>
  <si>
    <t>1332,8000</t>
  </si>
  <si>
    <t>2000,0</t>
  </si>
  <si>
    <t>1524,4741</t>
  </si>
  <si>
    <t>1632,0937</t>
  </si>
  <si>
    <t>2625,0</t>
  </si>
  <si>
    <t>Mischenko Artem</t>
  </si>
  <si>
    <t>1732,8303</t>
  </si>
  <si>
    <t>2867,5</t>
  </si>
  <si>
    <t>2140,6613</t>
  </si>
  <si>
    <t>3075,0</t>
  </si>
  <si>
    <t>Strelnikov Valeriy</t>
  </si>
  <si>
    <t>7,0</t>
  </si>
  <si>
    <t>134,10</t>
  </si>
  <si>
    <t>Masters 50-59 (17.11.1961)/57</t>
  </si>
  <si>
    <t>-. Filin Mikhail</t>
  </si>
  <si>
    <t>Open (17.11.1961)/57</t>
  </si>
  <si>
    <t>13,0</t>
  </si>
  <si>
    <t>92,5w</t>
  </si>
  <si>
    <t>Masters 60+ (26.09.1957)/62</t>
  </si>
  <si>
    <t>15,0</t>
  </si>
  <si>
    <t>100,0w</t>
  </si>
  <si>
    <t>Masters 40-49 (11.09.1979)/40</t>
  </si>
  <si>
    <t>2. Schuplov Aleksey</t>
  </si>
  <si>
    <t>27,0</t>
  </si>
  <si>
    <t>90,40</t>
  </si>
  <si>
    <t>Masters 40-49 (25.12.1977)/41</t>
  </si>
  <si>
    <t>1. Votintsev Ilya</t>
  </si>
  <si>
    <t>22,0</t>
  </si>
  <si>
    <t>3. Zhbankov Sergey</t>
  </si>
  <si>
    <t>Open (25.12.1977)/41</t>
  </si>
  <si>
    <t>2. Votintsev Ilya</t>
  </si>
  <si>
    <t>Chokayem Umar</t>
  </si>
  <si>
    <t>87,5w</t>
  </si>
  <si>
    <t>87,50</t>
  </si>
  <si>
    <t>Open (26.06.1984)/35</t>
  </si>
  <si>
    <t>1. Mischenko Artem</t>
  </si>
  <si>
    <t>25,0</t>
  </si>
  <si>
    <t>80,0w</t>
  </si>
  <si>
    <t>41,0</t>
  </si>
  <si>
    <t>75,0w</t>
  </si>
  <si>
    <t>Open (25.03.1981)/38</t>
  </si>
  <si>
    <t>1. Strelnikov Valeriy</t>
  </si>
  <si>
    <t>WORLD CUP
Multy-repeat BP 1 bw.AWPC
Москва/Москва 26 - 27 октября 2019 г.</t>
  </si>
  <si>
    <t>778,9708</t>
  </si>
  <si>
    <t>1320,0</t>
  </si>
  <si>
    <t>2232,2099</t>
  </si>
  <si>
    <t>3700,0</t>
  </si>
  <si>
    <t>Khaliullin Andrey</t>
  </si>
  <si>
    <t>1806,7841</t>
  </si>
  <si>
    <t>2960,0</t>
  </si>
  <si>
    <t>Avdonin Maksim</t>
  </si>
  <si>
    <t>1514,6484</t>
  </si>
  <si>
    <t>1260,0</t>
  </si>
  <si>
    <t>Karnaushkina Irina</t>
  </si>
  <si>
    <t>130,0w</t>
  </si>
  <si>
    <t>-. Khalapov Avazbek</t>
  </si>
  <si>
    <t>12,0</t>
  </si>
  <si>
    <t>110,0w</t>
  </si>
  <si>
    <t>Masters 40-49 (27.02.1975)/44</t>
  </si>
  <si>
    <t>1. Malekzadeh Adel</t>
  </si>
  <si>
    <t>RUS/Bryansk</t>
  </si>
  <si>
    <t>92,40</t>
  </si>
  <si>
    <t>Masters 40-49 (06.05.1979)/40</t>
  </si>
  <si>
    <t>1. Khaliullin Andrey</t>
  </si>
  <si>
    <t>32,0</t>
  </si>
  <si>
    <t>Open (07.04.1994)/25</t>
  </si>
  <si>
    <t>1. Avdonin Maksim</t>
  </si>
  <si>
    <t>24,0</t>
  </si>
  <si>
    <t>51,80</t>
  </si>
  <si>
    <t>Masters 40-49 (30.06.1972)/47</t>
  </si>
  <si>
    <t>1. Karnaushkina Irina</t>
  </si>
  <si>
    <t>WORLD CUP
Multy-repeat BP 1 bw. WPC
Москва/Москва 26 - 27 октября 2019 г.</t>
  </si>
  <si>
    <t>Teen 16-17 (10.10.2003)/16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</si>
</sst>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center"/>
    </xf>
    <xf numFmtId="49" fontId="0" fillId="0" borderId="15" xfId="0" applyNumberFormat="1" applyFont="1" applyFill="1" applyBorder="1" applyAlignment="1">
      <alignment horizontal="left"/>
    </xf>
    <xf numFmtId="49" fontId="6" fillId="0" borderId="15" xfId="0" applyNumberFormat="1" applyFont="1" applyFill="1" applyBorder="1" applyAlignment="1">
      <alignment horizontal="center"/>
    </xf>
    <xf numFmtId="49" fontId="0" fillId="0" borderId="17" xfId="0" applyNumberFormat="1" applyFont="1" applyFill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22" style="4" bestFit="1" customWidth="1"/>
    <col min="6" max="6" width="15.28515625" style="4" bestFit="1" customWidth="1"/>
    <col min="7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961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907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34">
        <v>1</v>
      </c>
      <c r="H4" s="31">
        <v>2</v>
      </c>
      <c r="I4" s="31">
        <v>3</v>
      </c>
      <c r="J4" s="32" t="s">
        <v>7</v>
      </c>
      <c r="K4" s="62"/>
      <c r="L4" s="55"/>
      <c r="M4" s="63"/>
    </row>
    <row r="5" spans="1:13" s="5" customFormat="1" ht="15">
      <c r="A5" s="64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960</v>
      </c>
      <c r="B6" s="15" t="s">
        <v>959</v>
      </c>
      <c r="C6" s="15" t="s">
        <v>958</v>
      </c>
      <c r="D6" s="15" t="str">
        <f>"0,7541"</f>
        <v>0,7541</v>
      </c>
      <c r="E6" s="17" t="s">
        <v>19</v>
      </c>
      <c r="F6" s="17" t="s">
        <v>575</v>
      </c>
      <c r="G6" s="15" t="s">
        <v>957</v>
      </c>
      <c r="H6" s="15" t="s">
        <v>956</v>
      </c>
      <c r="I6" s="18" t="s">
        <v>248</v>
      </c>
      <c r="J6" s="18"/>
      <c r="K6" s="17" t="str">
        <f>"125,0"</f>
        <v>125,0</v>
      </c>
      <c r="L6" s="15" t="str">
        <f>"94,2687"</f>
        <v>94,2687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9" t="s">
        <v>955</v>
      </c>
      <c r="B9" s="10" t="s">
        <v>954</v>
      </c>
      <c r="C9" s="10" t="s">
        <v>953</v>
      </c>
      <c r="D9" s="10" t="str">
        <f>"0,5846"</f>
        <v>0,5846</v>
      </c>
      <c r="E9" s="9" t="s">
        <v>19</v>
      </c>
      <c r="F9" s="9" t="s">
        <v>64</v>
      </c>
      <c r="G9" s="10" t="s">
        <v>952</v>
      </c>
      <c r="H9" s="10" t="s">
        <v>947</v>
      </c>
      <c r="I9" s="11" t="s">
        <v>951</v>
      </c>
      <c r="J9" s="11"/>
      <c r="K9" s="9" t="str">
        <f>"267,5"</f>
        <v>267,5</v>
      </c>
      <c r="L9" s="10" t="str">
        <f>"156,3671"</f>
        <v>156,3671</v>
      </c>
      <c r="M9" s="9"/>
    </row>
    <row r="10" spans="1:13">
      <c r="A10" s="19" t="s">
        <v>950</v>
      </c>
      <c r="B10" s="16" t="s">
        <v>949</v>
      </c>
      <c r="C10" s="16" t="s">
        <v>265</v>
      </c>
      <c r="D10" s="16" t="str">
        <f>"0,5850"</f>
        <v>0,5850</v>
      </c>
      <c r="E10" s="19" t="s">
        <v>682</v>
      </c>
      <c r="F10" s="19" t="s">
        <v>64</v>
      </c>
      <c r="G10" s="16" t="s">
        <v>66</v>
      </c>
      <c r="H10" s="20" t="s">
        <v>484</v>
      </c>
      <c r="I10" s="20" t="s">
        <v>484</v>
      </c>
      <c r="J10" s="20"/>
      <c r="K10" s="19" t="str">
        <f>"245,0"</f>
        <v>245,0</v>
      </c>
      <c r="L10" s="16" t="str">
        <f>"143,3372"</f>
        <v>143,3372</v>
      </c>
      <c r="M10" s="19"/>
    </row>
    <row r="11" spans="1:13">
      <c r="A11" s="12" t="s">
        <v>735</v>
      </c>
      <c r="B11" s="13" t="s">
        <v>736</v>
      </c>
      <c r="C11" s="13" t="s">
        <v>609</v>
      </c>
      <c r="D11" s="13" t="str">
        <f>"0,5859"</f>
        <v>0,5859</v>
      </c>
      <c r="E11" s="12" t="s">
        <v>19</v>
      </c>
      <c r="F11" s="12" t="s">
        <v>737</v>
      </c>
      <c r="G11" s="13" t="s">
        <v>948</v>
      </c>
      <c r="H11" s="13" t="s">
        <v>947</v>
      </c>
      <c r="I11" s="13" t="s">
        <v>946</v>
      </c>
      <c r="J11" s="14"/>
      <c r="K11" s="12" t="str">
        <f>"275,0"</f>
        <v>275,0</v>
      </c>
      <c r="L11" s="13" t="str">
        <f>"161,1088"</f>
        <v>161,1088</v>
      </c>
      <c r="M11" s="12"/>
    </row>
    <row r="13" spans="1:13" ht="15">
      <c r="A13" s="60" t="s">
        <v>94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>
      <c r="A14" s="17" t="s">
        <v>945</v>
      </c>
      <c r="B14" s="15" t="s">
        <v>944</v>
      </c>
      <c r="C14" s="15" t="s">
        <v>943</v>
      </c>
      <c r="D14" s="15" t="str">
        <f>"0,5667"</f>
        <v>0,5667</v>
      </c>
      <c r="E14" s="17" t="s">
        <v>19</v>
      </c>
      <c r="F14" s="17" t="s">
        <v>942</v>
      </c>
      <c r="G14" s="18" t="s">
        <v>35</v>
      </c>
      <c r="H14" s="18" t="s">
        <v>35</v>
      </c>
      <c r="I14" s="15" t="s">
        <v>35</v>
      </c>
      <c r="J14" s="18"/>
      <c r="K14" s="17" t="str">
        <f>"200,0"</f>
        <v>200,0</v>
      </c>
      <c r="L14" s="15" t="str">
        <f>"113,3500"</f>
        <v>113,3500</v>
      </c>
      <c r="M14" s="17"/>
    </row>
    <row r="16" spans="1:13" ht="15">
      <c r="A16" s="60" t="s">
        <v>112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3">
      <c r="A17" s="17" t="s">
        <v>941</v>
      </c>
      <c r="B17" s="15" t="s">
        <v>940</v>
      </c>
      <c r="C17" s="15" t="s">
        <v>939</v>
      </c>
      <c r="D17" s="15" t="str">
        <f>"0,5526"</f>
        <v>0,5526</v>
      </c>
      <c r="E17" s="17" t="s">
        <v>19</v>
      </c>
      <c r="F17" s="17" t="s">
        <v>575</v>
      </c>
      <c r="G17" s="18" t="s">
        <v>106</v>
      </c>
      <c r="H17" s="18" t="s">
        <v>106</v>
      </c>
      <c r="I17" s="18" t="s">
        <v>106</v>
      </c>
      <c r="J17" s="18"/>
      <c r="K17" s="17" t="str">
        <f>"0.00"</f>
        <v>0.00</v>
      </c>
      <c r="L17" s="15" t="str">
        <f>"0,0000"</f>
        <v>0,0000</v>
      </c>
      <c r="M17" s="17"/>
    </row>
    <row r="19" spans="1:13" ht="15">
      <c r="A19" s="60" t="s">
        <v>308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3">
      <c r="A20" s="9" t="s">
        <v>937</v>
      </c>
      <c r="B20" s="10" t="s">
        <v>938</v>
      </c>
      <c r="C20" s="10" t="s">
        <v>935</v>
      </c>
      <c r="D20" s="10" t="str">
        <f>"0,5377"</f>
        <v>0,5377</v>
      </c>
      <c r="E20" s="9" t="s">
        <v>19</v>
      </c>
      <c r="F20" s="9" t="s">
        <v>64</v>
      </c>
      <c r="G20" s="10" t="s">
        <v>365</v>
      </c>
      <c r="H20" s="10" t="s">
        <v>934</v>
      </c>
      <c r="I20" s="10" t="s">
        <v>933</v>
      </c>
      <c r="J20" s="11"/>
      <c r="K20" s="9" t="str">
        <f>"312,5"</f>
        <v>312,5</v>
      </c>
      <c r="L20" s="10" t="str">
        <f>"168,0312"</f>
        <v>168,0312</v>
      </c>
      <c r="M20" s="9"/>
    </row>
    <row r="21" spans="1:13">
      <c r="A21" s="19" t="s">
        <v>937</v>
      </c>
      <c r="B21" s="16" t="s">
        <v>936</v>
      </c>
      <c r="C21" s="16" t="s">
        <v>935</v>
      </c>
      <c r="D21" s="16" t="str">
        <f>"0,5377"</f>
        <v>0,5377</v>
      </c>
      <c r="E21" s="19" t="s">
        <v>19</v>
      </c>
      <c r="F21" s="19" t="s">
        <v>64</v>
      </c>
      <c r="G21" s="16" t="s">
        <v>365</v>
      </c>
      <c r="H21" s="16" t="s">
        <v>934</v>
      </c>
      <c r="I21" s="16" t="s">
        <v>933</v>
      </c>
      <c r="J21" s="20"/>
      <c r="K21" s="19" t="str">
        <f>"312,5"</f>
        <v>312,5</v>
      </c>
      <c r="L21" s="16" t="str">
        <f>"168,0312"</f>
        <v>168,0312</v>
      </c>
      <c r="M21" s="19"/>
    </row>
    <row r="22" spans="1:13">
      <c r="A22" s="12" t="s">
        <v>932</v>
      </c>
      <c r="B22" s="13" t="s">
        <v>931</v>
      </c>
      <c r="C22" s="13" t="s">
        <v>930</v>
      </c>
      <c r="D22" s="13" t="str">
        <f>"0,5338"</f>
        <v>0,5338</v>
      </c>
      <c r="E22" s="12" t="s">
        <v>690</v>
      </c>
      <c r="F22" s="12" t="s">
        <v>64</v>
      </c>
      <c r="G22" s="13" t="s">
        <v>92</v>
      </c>
      <c r="H22" s="13" t="s">
        <v>66</v>
      </c>
      <c r="I22" s="14" t="s">
        <v>118</v>
      </c>
      <c r="J22" s="14"/>
      <c r="K22" s="12" t="str">
        <f>"245,0"</f>
        <v>245,0</v>
      </c>
      <c r="L22" s="13" t="str">
        <f>"136,3969"</f>
        <v>136,3969</v>
      </c>
      <c r="M22" s="12"/>
    </row>
    <row r="24" spans="1:13" ht="15">
      <c r="E24" s="21" t="s">
        <v>128</v>
      </c>
    </row>
    <row r="25" spans="1:13" ht="15">
      <c r="E25" s="21" t="s">
        <v>129</v>
      </c>
    </row>
    <row r="26" spans="1:13" ht="15">
      <c r="E26" s="21" t="s">
        <v>130</v>
      </c>
    </row>
    <row r="27" spans="1:13">
      <c r="E27" s="4" t="s">
        <v>131</v>
      </c>
    </row>
    <row r="28" spans="1:13">
      <c r="E28" s="4" t="s">
        <v>132</v>
      </c>
    </row>
    <row r="29" spans="1:13">
      <c r="E29" s="4" t="s">
        <v>133</v>
      </c>
    </row>
    <row r="32" spans="1:13" ht="18">
      <c r="A32" s="22" t="s">
        <v>134</v>
      </c>
      <c r="B32" s="23"/>
    </row>
    <row r="33" spans="1:5" s="3" customFormat="1" ht="15">
      <c r="A33" s="24" t="s">
        <v>145</v>
      </c>
      <c r="B33" s="33"/>
      <c r="C33" s="5"/>
      <c r="D33" s="5"/>
      <c r="E33" s="4"/>
    </row>
    <row r="34" spans="1:5" s="3" customFormat="1" ht="14.25">
      <c r="A34" s="27"/>
      <c r="B34" s="28" t="s">
        <v>136</v>
      </c>
      <c r="C34" s="5"/>
      <c r="D34" s="5"/>
      <c r="E34" s="4"/>
    </row>
    <row r="35" spans="1:5" s="3" customFormat="1" ht="15">
      <c r="A35" s="29" t="s">
        <v>0</v>
      </c>
      <c r="B35" s="29" t="s">
        <v>137</v>
      </c>
      <c r="C35" s="29" t="s">
        <v>138</v>
      </c>
      <c r="D35" s="29" t="s">
        <v>139</v>
      </c>
      <c r="E35" s="29" t="s">
        <v>907</v>
      </c>
    </row>
    <row r="36" spans="1:5" s="3" customFormat="1">
      <c r="A36" s="26" t="s">
        <v>929</v>
      </c>
      <c r="B36" s="5" t="s">
        <v>701</v>
      </c>
      <c r="C36" s="5" t="s">
        <v>151</v>
      </c>
      <c r="D36" s="5" t="s">
        <v>22</v>
      </c>
      <c r="E36" s="30" t="s">
        <v>928</v>
      </c>
    </row>
    <row r="38" spans="1:5" s="3" customFormat="1" ht="14.25">
      <c r="A38" s="27"/>
      <c r="B38" s="28" t="s">
        <v>149</v>
      </c>
      <c r="C38" s="5"/>
      <c r="D38" s="5"/>
      <c r="E38" s="4"/>
    </row>
    <row r="39" spans="1:5" s="3" customFormat="1" ht="15">
      <c r="A39" s="29" t="s">
        <v>0</v>
      </c>
      <c r="B39" s="29" t="s">
        <v>137</v>
      </c>
      <c r="C39" s="29" t="s">
        <v>138</v>
      </c>
      <c r="D39" s="29" t="s">
        <v>139</v>
      </c>
      <c r="E39" s="29" t="s">
        <v>907</v>
      </c>
    </row>
    <row r="40" spans="1:5" s="3" customFormat="1">
      <c r="A40" s="26" t="s">
        <v>927</v>
      </c>
      <c r="B40" s="5" t="s">
        <v>150</v>
      </c>
      <c r="C40" s="5" t="s">
        <v>323</v>
      </c>
      <c r="D40" s="5" t="s">
        <v>926</v>
      </c>
      <c r="E40" s="30" t="s">
        <v>925</v>
      </c>
    </row>
    <row r="42" spans="1:5" s="3" customFormat="1" ht="14.25">
      <c r="A42" s="27"/>
      <c r="B42" s="28" t="s">
        <v>143</v>
      </c>
      <c r="C42" s="5"/>
      <c r="D42" s="5"/>
      <c r="E42" s="4"/>
    </row>
    <row r="43" spans="1:5" s="3" customFormat="1" ht="15">
      <c r="A43" s="29" t="s">
        <v>0</v>
      </c>
      <c r="B43" s="29" t="s">
        <v>137</v>
      </c>
      <c r="C43" s="29" t="s">
        <v>138</v>
      </c>
      <c r="D43" s="29" t="s">
        <v>139</v>
      </c>
      <c r="E43" s="29" t="s">
        <v>907</v>
      </c>
    </row>
    <row r="44" spans="1:5" s="3" customFormat="1">
      <c r="A44" s="26" t="s">
        <v>927</v>
      </c>
      <c r="B44" s="5" t="s">
        <v>143</v>
      </c>
      <c r="C44" s="5" t="s">
        <v>323</v>
      </c>
      <c r="D44" s="5" t="s">
        <v>926</v>
      </c>
      <c r="E44" s="30" t="s">
        <v>925</v>
      </c>
    </row>
    <row r="45" spans="1:5" s="3" customFormat="1">
      <c r="A45" s="26" t="s">
        <v>924</v>
      </c>
      <c r="B45" s="5" t="s">
        <v>143</v>
      </c>
      <c r="C45" s="5" t="s">
        <v>161</v>
      </c>
      <c r="D45" s="5" t="s">
        <v>484</v>
      </c>
      <c r="E45" s="30" t="s">
        <v>923</v>
      </c>
    </row>
    <row r="46" spans="1:5" s="3" customFormat="1">
      <c r="A46" s="26" t="s">
        <v>922</v>
      </c>
      <c r="B46" s="5" t="s">
        <v>143</v>
      </c>
      <c r="C46" s="5" t="s">
        <v>161</v>
      </c>
      <c r="D46" s="5" t="s">
        <v>66</v>
      </c>
      <c r="E46" s="30" t="s">
        <v>921</v>
      </c>
    </row>
    <row r="47" spans="1:5" s="3" customFormat="1">
      <c r="A47" s="26" t="s">
        <v>920</v>
      </c>
      <c r="B47" s="5" t="s">
        <v>143</v>
      </c>
      <c r="C47" s="5" t="s">
        <v>155</v>
      </c>
      <c r="D47" s="5" t="s">
        <v>35</v>
      </c>
      <c r="E47" s="30" t="s">
        <v>919</v>
      </c>
    </row>
    <row r="49" spans="1:5" s="3" customFormat="1" ht="14.25">
      <c r="A49" s="27"/>
      <c r="B49" s="28" t="s">
        <v>164</v>
      </c>
      <c r="C49" s="5"/>
      <c r="D49" s="5"/>
      <c r="E49" s="4"/>
    </row>
    <row r="50" spans="1:5" s="3" customFormat="1" ht="15">
      <c r="A50" s="29" t="s">
        <v>0</v>
      </c>
      <c r="B50" s="29" t="s">
        <v>137</v>
      </c>
      <c r="C50" s="29" t="s">
        <v>138</v>
      </c>
      <c r="D50" s="29" t="s">
        <v>139</v>
      </c>
      <c r="E50" s="29" t="s">
        <v>907</v>
      </c>
    </row>
    <row r="51" spans="1:5" s="3" customFormat="1">
      <c r="A51" s="26" t="s">
        <v>734</v>
      </c>
      <c r="B51" s="5" t="s">
        <v>172</v>
      </c>
      <c r="C51" s="5" t="s">
        <v>161</v>
      </c>
      <c r="D51" s="5" t="s">
        <v>357</v>
      </c>
      <c r="E51" s="30" t="s">
        <v>918</v>
      </c>
    </row>
    <row r="52" spans="1:5" s="3" customFormat="1">
      <c r="A52" s="26" t="s">
        <v>917</v>
      </c>
      <c r="B52" s="5" t="s">
        <v>172</v>
      </c>
      <c r="C52" s="5" t="s">
        <v>323</v>
      </c>
      <c r="D52" s="5" t="s">
        <v>66</v>
      </c>
      <c r="E52" s="30" t="s">
        <v>916</v>
      </c>
    </row>
  </sheetData>
  <mergeCells count="16">
    <mergeCell ref="A16:L16"/>
    <mergeCell ref="A19:L19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0"/>
  <sheetViews>
    <sheetView workbookViewId="0">
      <selection activeCell="B15" sqref="B15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4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867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868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9" t="s">
        <v>588</v>
      </c>
      <c r="B6" s="10" t="s">
        <v>589</v>
      </c>
      <c r="C6" s="10" t="s">
        <v>590</v>
      </c>
      <c r="D6" s="10" t="str">
        <f>"0,6418"</f>
        <v>0,6418</v>
      </c>
      <c r="E6" s="9" t="s">
        <v>19</v>
      </c>
      <c r="F6" s="9" t="s">
        <v>260</v>
      </c>
      <c r="G6" s="10" t="s">
        <v>216</v>
      </c>
      <c r="H6" s="10" t="s">
        <v>549</v>
      </c>
      <c r="I6" s="10" t="s">
        <v>537</v>
      </c>
      <c r="J6" s="11"/>
      <c r="K6" s="9" t="str">
        <f>"62,5"</f>
        <v>62,5</v>
      </c>
      <c r="L6" s="10" t="str">
        <f>"40,1125"</f>
        <v>40,1125</v>
      </c>
      <c r="M6" s="9"/>
    </row>
    <row r="7" spans="1:13" s="5" customFormat="1">
      <c r="A7" s="12" t="s">
        <v>472</v>
      </c>
      <c r="B7" s="13" t="s">
        <v>473</v>
      </c>
      <c r="C7" s="13" t="s">
        <v>474</v>
      </c>
      <c r="D7" s="13" t="str">
        <f>"0,6364"</f>
        <v>0,6364</v>
      </c>
      <c r="E7" s="12" t="s">
        <v>19</v>
      </c>
      <c r="F7" s="12" t="s">
        <v>247</v>
      </c>
      <c r="G7" s="13" t="s">
        <v>762</v>
      </c>
      <c r="H7" s="13" t="s">
        <v>215</v>
      </c>
      <c r="I7" s="13" t="s">
        <v>216</v>
      </c>
      <c r="J7" s="14"/>
      <c r="K7" s="12" t="str">
        <f>"52,5"</f>
        <v>52,5</v>
      </c>
      <c r="L7" s="13" t="str">
        <f>"35,0147"</f>
        <v>35,0147</v>
      </c>
      <c r="M7" s="12"/>
    </row>
    <row r="9" spans="1:13" ht="15">
      <c r="A9" s="60" t="s">
        <v>87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3">
      <c r="A10" s="9" t="s">
        <v>869</v>
      </c>
      <c r="B10" s="10" t="s">
        <v>616</v>
      </c>
      <c r="C10" s="10" t="s">
        <v>617</v>
      </c>
      <c r="D10" s="10" t="str">
        <f>"0,5775"</f>
        <v>0,5775</v>
      </c>
      <c r="E10" s="9" t="s">
        <v>19</v>
      </c>
      <c r="F10" s="9" t="s">
        <v>260</v>
      </c>
      <c r="G10" s="10" t="s">
        <v>538</v>
      </c>
      <c r="H10" s="10" t="s">
        <v>226</v>
      </c>
      <c r="I10" s="11" t="s">
        <v>771</v>
      </c>
      <c r="J10" s="11"/>
      <c r="K10" s="9" t="str">
        <f>"70,0"</f>
        <v>70,0</v>
      </c>
      <c r="L10" s="10" t="str">
        <f>"40,4250"</f>
        <v>40,4250</v>
      </c>
      <c r="M10" s="9"/>
    </row>
    <row r="11" spans="1:13">
      <c r="A11" s="19" t="s">
        <v>871</v>
      </c>
      <c r="B11" s="16" t="s">
        <v>872</v>
      </c>
      <c r="C11" s="16" t="s">
        <v>873</v>
      </c>
      <c r="D11" s="16" t="str">
        <f>"0,5575"</f>
        <v>0,5575</v>
      </c>
      <c r="E11" s="19" t="s">
        <v>19</v>
      </c>
      <c r="F11" s="19" t="s">
        <v>64</v>
      </c>
      <c r="G11" s="16" t="s">
        <v>225</v>
      </c>
      <c r="H11" s="16" t="s">
        <v>226</v>
      </c>
      <c r="I11" s="20" t="s">
        <v>771</v>
      </c>
      <c r="J11" s="20"/>
      <c r="K11" s="19" t="str">
        <f>"70,0"</f>
        <v>70,0</v>
      </c>
      <c r="L11" s="16" t="str">
        <f>"39,0250"</f>
        <v>39,0250</v>
      </c>
      <c r="M11" s="19"/>
    </row>
    <row r="12" spans="1:13">
      <c r="A12" s="12" t="s">
        <v>735</v>
      </c>
      <c r="B12" s="13" t="s">
        <v>736</v>
      </c>
      <c r="C12" s="13" t="s">
        <v>609</v>
      </c>
      <c r="D12" s="13" t="str">
        <f>"0,5586"</f>
        <v>0,5586</v>
      </c>
      <c r="E12" s="12" t="s">
        <v>19</v>
      </c>
      <c r="F12" s="12" t="s">
        <v>737</v>
      </c>
      <c r="G12" s="13" t="s">
        <v>215</v>
      </c>
      <c r="H12" s="14" t="s">
        <v>225</v>
      </c>
      <c r="I12" s="14" t="s">
        <v>225</v>
      </c>
      <c r="J12" s="14"/>
      <c r="K12" s="12" t="str">
        <f>"50,0"</f>
        <v>50,0</v>
      </c>
      <c r="L12" s="13" t="str">
        <f>"27,9300"</f>
        <v>27,9300</v>
      </c>
      <c r="M12" s="12"/>
    </row>
    <row r="14" spans="1:13" ht="15">
      <c r="A14" s="60" t="s">
        <v>112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3">
      <c r="A15" s="17" t="s">
        <v>504</v>
      </c>
      <c r="B15" s="36" t="s">
        <v>1100</v>
      </c>
      <c r="C15" s="15" t="s">
        <v>505</v>
      </c>
      <c r="D15" s="15" t="str">
        <f>"0,5235"</f>
        <v>0,5235</v>
      </c>
      <c r="E15" s="17" t="s">
        <v>456</v>
      </c>
      <c r="F15" s="17" t="s">
        <v>64</v>
      </c>
      <c r="G15" s="15" t="s">
        <v>762</v>
      </c>
      <c r="H15" s="15" t="s">
        <v>215</v>
      </c>
      <c r="I15" s="18" t="s">
        <v>544</v>
      </c>
      <c r="J15" s="18"/>
      <c r="K15" s="17" t="str">
        <f>"50,0"</f>
        <v>50,0</v>
      </c>
      <c r="L15" s="15" t="str">
        <f>"26,1750"</f>
        <v>26,1750</v>
      </c>
      <c r="M15" s="17"/>
    </row>
    <row r="17" spans="1:5" ht="15">
      <c r="E17" s="21" t="s">
        <v>128</v>
      </c>
    </row>
    <row r="18" spans="1:5" ht="15">
      <c r="E18" s="21" t="s">
        <v>129</v>
      </c>
    </row>
    <row r="19" spans="1:5" ht="15">
      <c r="E19" s="21" t="s">
        <v>130</v>
      </c>
    </row>
    <row r="20" spans="1:5">
      <c r="E20" s="4" t="s">
        <v>131</v>
      </c>
    </row>
    <row r="21" spans="1:5">
      <c r="E21" s="4" t="s">
        <v>132</v>
      </c>
    </row>
    <row r="22" spans="1:5">
      <c r="E22" s="4" t="s">
        <v>133</v>
      </c>
    </row>
    <row r="25" spans="1:5" ht="18">
      <c r="A25" s="22" t="s">
        <v>134</v>
      </c>
      <c r="B25" s="23"/>
    </row>
    <row r="26" spans="1:5" ht="15">
      <c r="A26" s="24" t="s">
        <v>145</v>
      </c>
      <c r="B26" s="25"/>
    </row>
    <row r="27" spans="1:5" ht="14.25">
      <c r="A27" s="27"/>
      <c r="B27" s="28" t="s">
        <v>136</v>
      </c>
    </row>
    <row r="28" spans="1:5" ht="15">
      <c r="A28" s="29" t="s">
        <v>0</v>
      </c>
      <c r="B28" s="29" t="s">
        <v>137</v>
      </c>
      <c r="C28" s="29" t="s">
        <v>138</v>
      </c>
      <c r="D28" s="29" t="s">
        <v>139</v>
      </c>
      <c r="E28" s="29" t="s">
        <v>12</v>
      </c>
    </row>
    <row r="29" spans="1:5">
      <c r="A29" s="26" t="s">
        <v>503</v>
      </c>
      <c r="B29" s="5" t="s">
        <v>140</v>
      </c>
      <c r="C29" s="5" t="s">
        <v>153</v>
      </c>
      <c r="D29" s="5" t="s">
        <v>215</v>
      </c>
      <c r="E29" s="30" t="s">
        <v>874</v>
      </c>
    </row>
    <row r="31" spans="1:5" ht="14.25">
      <c r="A31" s="27"/>
      <c r="B31" s="28" t="s">
        <v>143</v>
      </c>
    </row>
    <row r="32" spans="1:5" ht="15">
      <c r="A32" s="29" t="s">
        <v>0</v>
      </c>
      <c r="B32" s="29" t="s">
        <v>137</v>
      </c>
      <c r="C32" s="29" t="s">
        <v>138</v>
      </c>
      <c r="D32" s="29" t="s">
        <v>139</v>
      </c>
      <c r="E32" s="29" t="s">
        <v>12</v>
      </c>
    </row>
    <row r="33" spans="1:5">
      <c r="A33" s="26" t="s">
        <v>614</v>
      </c>
      <c r="B33" s="5" t="s">
        <v>143</v>
      </c>
      <c r="C33" s="5" t="s">
        <v>161</v>
      </c>
      <c r="D33" s="5" t="s">
        <v>226</v>
      </c>
      <c r="E33" s="30" t="s">
        <v>875</v>
      </c>
    </row>
    <row r="34" spans="1:5">
      <c r="A34" s="26" t="s">
        <v>587</v>
      </c>
      <c r="B34" s="5" t="s">
        <v>143</v>
      </c>
      <c r="C34" s="5" t="s">
        <v>147</v>
      </c>
      <c r="D34" s="5" t="s">
        <v>537</v>
      </c>
      <c r="E34" s="30" t="s">
        <v>876</v>
      </c>
    </row>
    <row r="35" spans="1:5">
      <c r="A35" s="26" t="s">
        <v>870</v>
      </c>
      <c r="B35" s="5" t="s">
        <v>143</v>
      </c>
      <c r="C35" s="5" t="s">
        <v>161</v>
      </c>
      <c r="D35" s="5" t="s">
        <v>226</v>
      </c>
      <c r="E35" s="30" t="s">
        <v>877</v>
      </c>
    </row>
    <row r="37" spans="1:5" ht="14.25">
      <c r="A37" s="27"/>
      <c r="B37" s="28" t="s">
        <v>164</v>
      </c>
    </row>
    <row r="38" spans="1:5" ht="15">
      <c r="A38" s="29" t="s">
        <v>0</v>
      </c>
      <c r="B38" s="29" t="s">
        <v>137</v>
      </c>
      <c r="C38" s="29" t="s">
        <v>138</v>
      </c>
      <c r="D38" s="29" t="s">
        <v>139</v>
      </c>
      <c r="E38" s="29" t="s">
        <v>12</v>
      </c>
    </row>
    <row r="39" spans="1:5">
      <c r="A39" s="26" t="s">
        <v>471</v>
      </c>
      <c r="B39" s="5" t="s">
        <v>339</v>
      </c>
      <c r="C39" s="5" t="s">
        <v>147</v>
      </c>
      <c r="D39" s="5" t="s">
        <v>216</v>
      </c>
      <c r="E39" s="30" t="s">
        <v>878</v>
      </c>
    </row>
    <row r="40" spans="1:5">
      <c r="A40" s="26" t="s">
        <v>734</v>
      </c>
      <c r="B40" s="5" t="s">
        <v>172</v>
      </c>
      <c r="C40" s="5" t="s">
        <v>161</v>
      </c>
      <c r="D40" s="5" t="s">
        <v>215</v>
      </c>
      <c r="E40" s="30" t="s">
        <v>879</v>
      </c>
    </row>
  </sheetData>
  <mergeCells count="14">
    <mergeCell ref="A14:L14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4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4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857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849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859</v>
      </c>
      <c r="B6" s="15" t="s">
        <v>860</v>
      </c>
      <c r="C6" s="15" t="s">
        <v>861</v>
      </c>
      <c r="D6" s="15" t="str">
        <f>"0,6730"</f>
        <v>0,6730</v>
      </c>
      <c r="E6" s="17" t="s">
        <v>19</v>
      </c>
      <c r="F6" s="17" t="s">
        <v>20</v>
      </c>
      <c r="G6" s="15" t="s">
        <v>225</v>
      </c>
      <c r="H6" s="15" t="s">
        <v>226</v>
      </c>
      <c r="I6" s="18"/>
      <c r="J6" s="18"/>
      <c r="K6" s="17" t="str">
        <f>"70,0"</f>
        <v>70,0</v>
      </c>
      <c r="L6" s="15" t="str">
        <f>"47,1100"</f>
        <v>47,1100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81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863</v>
      </c>
      <c r="B9" s="15" t="s">
        <v>864</v>
      </c>
      <c r="C9" s="15" t="s">
        <v>800</v>
      </c>
      <c r="D9" s="15" t="str">
        <f>"0,5885"</f>
        <v>0,5885</v>
      </c>
      <c r="E9" s="17" t="s">
        <v>19</v>
      </c>
      <c r="F9" s="17" t="s">
        <v>20</v>
      </c>
      <c r="G9" s="15" t="s">
        <v>215</v>
      </c>
      <c r="H9" s="15" t="s">
        <v>226</v>
      </c>
      <c r="I9" s="15" t="s">
        <v>227</v>
      </c>
      <c r="J9" s="18"/>
      <c r="K9" s="17" t="str">
        <f>"75,0"</f>
        <v>75,0</v>
      </c>
      <c r="L9" s="15" t="str">
        <f>"44,1375"</f>
        <v>44,1375</v>
      </c>
      <c r="M9" s="17"/>
    </row>
    <row r="11" spans="1:13" ht="15">
      <c r="E11" s="21" t="s">
        <v>128</v>
      </c>
    </row>
    <row r="12" spans="1:13" ht="15">
      <c r="E12" s="21" t="s">
        <v>129</v>
      </c>
    </row>
    <row r="13" spans="1:13" ht="15">
      <c r="E13" s="21" t="s">
        <v>130</v>
      </c>
    </row>
    <row r="14" spans="1:13">
      <c r="E14" s="4" t="s">
        <v>131</v>
      </c>
    </row>
    <row r="15" spans="1:13">
      <c r="E15" s="4" t="s">
        <v>132</v>
      </c>
    </row>
    <row r="16" spans="1:13">
      <c r="E16" s="4" t="s">
        <v>133</v>
      </c>
    </row>
    <row r="19" spans="1:5" ht="18">
      <c r="A19" s="22" t="s">
        <v>134</v>
      </c>
      <c r="B19" s="23"/>
    </row>
    <row r="20" spans="1:5" ht="15">
      <c r="A20" s="24" t="s">
        <v>145</v>
      </c>
      <c r="B20" s="25"/>
    </row>
    <row r="21" spans="1:5" ht="14.25">
      <c r="A21" s="27"/>
      <c r="B21" s="28" t="s">
        <v>143</v>
      </c>
    </row>
    <row r="22" spans="1:5" ht="15">
      <c r="A22" s="29" t="s">
        <v>0</v>
      </c>
      <c r="B22" s="29" t="s">
        <v>137</v>
      </c>
      <c r="C22" s="29" t="s">
        <v>138</v>
      </c>
      <c r="D22" s="29" t="s">
        <v>139</v>
      </c>
      <c r="E22" s="29" t="s">
        <v>12</v>
      </c>
    </row>
    <row r="23" spans="1:5">
      <c r="A23" s="26" t="s">
        <v>858</v>
      </c>
      <c r="B23" s="5" t="s">
        <v>143</v>
      </c>
      <c r="C23" s="5" t="s">
        <v>173</v>
      </c>
      <c r="D23" s="5" t="s">
        <v>226</v>
      </c>
      <c r="E23" s="30" t="s">
        <v>865</v>
      </c>
    </row>
    <row r="24" spans="1:5">
      <c r="A24" s="26" t="s">
        <v>862</v>
      </c>
      <c r="B24" s="5" t="s">
        <v>143</v>
      </c>
      <c r="C24" s="5" t="s">
        <v>166</v>
      </c>
      <c r="D24" s="5" t="s">
        <v>227</v>
      </c>
      <c r="E24" s="30" t="s">
        <v>866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4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848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849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81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851</v>
      </c>
      <c r="B6" s="15" t="s">
        <v>852</v>
      </c>
      <c r="C6" s="15" t="s">
        <v>853</v>
      </c>
      <c r="D6" s="15" t="str">
        <f>"0,6059"</f>
        <v>0,6059</v>
      </c>
      <c r="E6" s="17" t="s">
        <v>19</v>
      </c>
      <c r="F6" s="17" t="s">
        <v>854</v>
      </c>
      <c r="G6" s="15" t="s">
        <v>227</v>
      </c>
      <c r="H6" s="15" t="s">
        <v>755</v>
      </c>
      <c r="I6" s="15" t="s">
        <v>380</v>
      </c>
      <c r="J6" s="18"/>
      <c r="K6" s="17" t="str">
        <f>"85,0"</f>
        <v>85,0</v>
      </c>
      <c r="L6" s="15" t="str">
        <f>"51,5015"</f>
        <v>51,5015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735</v>
      </c>
      <c r="B9" s="15" t="s">
        <v>736</v>
      </c>
      <c r="C9" s="15" t="s">
        <v>609</v>
      </c>
      <c r="D9" s="15" t="str">
        <f>"0,5586"</f>
        <v>0,5586</v>
      </c>
      <c r="E9" s="17" t="s">
        <v>19</v>
      </c>
      <c r="F9" s="17" t="s">
        <v>737</v>
      </c>
      <c r="G9" s="18" t="s">
        <v>755</v>
      </c>
      <c r="H9" s="15" t="s">
        <v>755</v>
      </c>
      <c r="I9" s="15" t="s">
        <v>232</v>
      </c>
      <c r="J9" s="18"/>
      <c r="K9" s="17" t="str">
        <f>"90,0"</f>
        <v>90,0</v>
      </c>
      <c r="L9" s="15" t="str">
        <f>"50,2740"</f>
        <v>50,2740</v>
      </c>
      <c r="M9" s="17"/>
    </row>
    <row r="11" spans="1:13" ht="15">
      <c r="E11" s="21" t="s">
        <v>128</v>
      </c>
    </row>
    <row r="12" spans="1:13" ht="15">
      <c r="E12" s="21" t="s">
        <v>129</v>
      </c>
    </row>
    <row r="13" spans="1:13" ht="15">
      <c r="E13" s="21" t="s">
        <v>130</v>
      </c>
    </row>
    <row r="14" spans="1:13">
      <c r="E14" s="4" t="s">
        <v>131</v>
      </c>
    </row>
    <row r="15" spans="1:13">
      <c r="E15" s="4" t="s">
        <v>132</v>
      </c>
    </row>
    <row r="16" spans="1:13">
      <c r="E16" s="4" t="s">
        <v>133</v>
      </c>
    </row>
    <row r="19" spans="1:5" ht="18">
      <c r="A19" s="22" t="s">
        <v>134</v>
      </c>
      <c r="B19" s="23"/>
    </row>
    <row r="20" spans="1:5" ht="15">
      <c r="A20" s="24" t="s">
        <v>145</v>
      </c>
      <c r="B20" s="25"/>
    </row>
    <row r="21" spans="1:5" ht="14.25">
      <c r="A21" s="27"/>
      <c r="B21" s="28" t="s">
        <v>143</v>
      </c>
    </row>
    <row r="22" spans="1:5" ht="15">
      <c r="A22" s="29" t="s">
        <v>0</v>
      </c>
      <c r="B22" s="29" t="s">
        <v>137</v>
      </c>
      <c r="C22" s="29" t="s">
        <v>138</v>
      </c>
      <c r="D22" s="29" t="s">
        <v>139</v>
      </c>
      <c r="E22" s="29" t="s">
        <v>12</v>
      </c>
    </row>
    <row r="23" spans="1:5">
      <c r="A23" s="26" t="s">
        <v>850</v>
      </c>
      <c r="B23" s="5" t="s">
        <v>143</v>
      </c>
      <c r="C23" s="5" t="s">
        <v>166</v>
      </c>
      <c r="D23" s="5" t="s">
        <v>380</v>
      </c>
      <c r="E23" s="30" t="s">
        <v>855</v>
      </c>
    </row>
    <row r="25" spans="1:5" ht="14.25">
      <c r="A25" s="27"/>
      <c r="B25" s="28" t="s">
        <v>164</v>
      </c>
    </row>
    <row r="26" spans="1:5" ht="15">
      <c r="A26" s="29" t="s">
        <v>0</v>
      </c>
      <c r="B26" s="29" t="s">
        <v>137</v>
      </c>
      <c r="C26" s="29" t="s">
        <v>138</v>
      </c>
      <c r="D26" s="29" t="s">
        <v>139</v>
      </c>
      <c r="E26" s="29" t="s">
        <v>12</v>
      </c>
    </row>
    <row r="27" spans="1:5">
      <c r="A27" s="26" t="s">
        <v>734</v>
      </c>
      <c r="B27" s="5" t="s">
        <v>172</v>
      </c>
      <c r="C27" s="5" t="s">
        <v>161</v>
      </c>
      <c r="D27" s="5" t="s">
        <v>232</v>
      </c>
      <c r="E27" s="30" t="s">
        <v>856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7"/>
  <sheetViews>
    <sheetView topLeftCell="A31" workbookViewId="0">
      <selection activeCell="B45" sqref="B45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1.8554687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10.5703125" style="4" bestFit="1" customWidth="1"/>
    <col min="22" max="16384" width="9.140625" style="3"/>
  </cols>
  <sheetData>
    <row r="1" spans="1:21" s="2" customFormat="1" ht="29.1" customHeight="1">
      <c r="A1" s="46" t="s">
        <v>745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2</v>
      </c>
      <c r="H3" s="56"/>
      <c r="I3" s="56"/>
      <c r="J3" s="59"/>
      <c r="K3" s="52" t="s">
        <v>3</v>
      </c>
      <c r="L3" s="56"/>
      <c r="M3" s="56"/>
      <c r="N3" s="59"/>
      <c r="O3" s="52" t="s">
        <v>4</v>
      </c>
      <c r="P3" s="56"/>
      <c r="Q3" s="56"/>
      <c r="R3" s="59"/>
      <c r="S3" s="61" t="s">
        <v>9</v>
      </c>
      <c r="T3" s="56" t="s">
        <v>6</v>
      </c>
      <c r="U3" s="59" t="s">
        <v>5</v>
      </c>
    </row>
    <row r="4" spans="1:21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62"/>
      <c r="T4" s="55"/>
      <c r="U4" s="63"/>
    </row>
    <row r="5" spans="1:21" s="5" customFormat="1" ht="15">
      <c r="A5" s="64" t="s">
        <v>746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</row>
    <row r="6" spans="1:21" s="5" customFormat="1">
      <c r="A6" s="9" t="s">
        <v>748</v>
      </c>
      <c r="B6" s="10" t="s">
        <v>749</v>
      </c>
      <c r="C6" s="10" t="s">
        <v>750</v>
      </c>
      <c r="D6" s="10" t="str">
        <f>"1,0336"</f>
        <v>1,0336</v>
      </c>
      <c r="E6" s="9" t="s">
        <v>19</v>
      </c>
      <c r="F6" s="9" t="s">
        <v>64</v>
      </c>
      <c r="G6" s="10" t="s">
        <v>576</v>
      </c>
      <c r="H6" s="11" t="s">
        <v>233</v>
      </c>
      <c r="I6" s="11" t="s">
        <v>234</v>
      </c>
      <c r="J6" s="11"/>
      <c r="K6" s="10" t="s">
        <v>538</v>
      </c>
      <c r="L6" s="10" t="s">
        <v>539</v>
      </c>
      <c r="M6" s="11" t="s">
        <v>226</v>
      </c>
      <c r="N6" s="11"/>
      <c r="O6" s="10" t="s">
        <v>586</v>
      </c>
      <c r="P6" s="10" t="s">
        <v>232</v>
      </c>
      <c r="Q6" s="11" t="s">
        <v>751</v>
      </c>
      <c r="R6" s="11"/>
      <c r="S6" s="9" t="str">
        <f>"252,5"</f>
        <v>252,5</v>
      </c>
      <c r="T6" s="10" t="str">
        <f>"260,9840"</f>
        <v>260,9840</v>
      </c>
      <c r="U6" s="9"/>
    </row>
    <row r="7" spans="1:21" s="5" customFormat="1">
      <c r="A7" s="19" t="s">
        <v>753</v>
      </c>
      <c r="B7" s="16" t="s">
        <v>754</v>
      </c>
      <c r="C7" s="16" t="s">
        <v>750</v>
      </c>
      <c r="D7" s="16" t="str">
        <f>"1,0336"</f>
        <v>1,0336</v>
      </c>
      <c r="E7" s="19" t="s">
        <v>19</v>
      </c>
      <c r="F7" s="19" t="s">
        <v>64</v>
      </c>
      <c r="G7" s="20" t="s">
        <v>755</v>
      </c>
      <c r="H7" s="20" t="s">
        <v>755</v>
      </c>
      <c r="I7" s="16" t="s">
        <v>755</v>
      </c>
      <c r="J7" s="20"/>
      <c r="K7" s="16" t="s">
        <v>756</v>
      </c>
      <c r="L7" s="20" t="s">
        <v>422</v>
      </c>
      <c r="M7" s="20" t="s">
        <v>422</v>
      </c>
      <c r="N7" s="20"/>
      <c r="O7" s="20" t="s">
        <v>233</v>
      </c>
      <c r="P7" s="16" t="s">
        <v>235</v>
      </c>
      <c r="Q7" s="16" t="s">
        <v>236</v>
      </c>
      <c r="R7" s="20"/>
      <c r="S7" s="19" t="str">
        <f>"230,0"</f>
        <v>230,0</v>
      </c>
      <c r="T7" s="16" t="str">
        <f>"237,7280"</f>
        <v>237,7280</v>
      </c>
      <c r="U7" s="19"/>
    </row>
    <row r="8" spans="1:21">
      <c r="A8" s="12" t="s">
        <v>758</v>
      </c>
      <c r="B8" s="13" t="s">
        <v>759</v>
      </c>
      <c r="C8" s="13" t="s">
        <v>760</v>
      </c>
      <c r="D8" s="13" t="str">
        <f>"1,0353"</f>
        <v>1,0353</v>
      </c>
      <c r="E8" s="12" t="s">
        <v>19</v>
      </c>
      <c r="F8" s="12" t="s">
        <v>761</v>
      </c>
      <c r="G8" s="13" t="s">
        <v>755</v>
      </c>
      <c r="H8" s="14" t="s">
        <v>380</v>
      </c>
      <c r="I8" s="13" t="s">
        <v>380</v>
      </c>
      <c r="J8" s="14"/>
      <c r="K8" s="13" t="s">
        <v>422</v>
      </c>
      <c r="L8" s="13" t="s">
        <v>762</v>
      </c>
      <c r="M8" s="13" t="s">
        <v>214</v>
      </c>
      <c r="N8" s="14"/>
      <c r="O8" s="13" t="s">
        <v>380</v>
      </c>
      <c r="P8" s="13" t="s">
        <v>232</v>
      </c>
      <c r="Q8" s="13" t="s">
        <v>576</v>
      </c>
      <c r="R8" s="14"/>
      <c r="S8" s="12" t="str">
        <f>"227,5"</f>
        <v>227,5</v>
      </c>
      <c r="T8" s="13" t="str">
        <f>"235,5308"</f>
        <v>235,5308</v>
      </c>
      <c r="U8" s="12"/>
    </row>
    <row r="10" spans="1:21" ht="15">
      <c r="A10" s="60" t="s">
        <v>14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</row>
    <row r="11" spans="1:21">
      <c r="A11" s="9" t="s">
        <v>763</v>
      </c>
      <c r="B11" s="10" t="s">
        <v>764</v>
      </c>
      <c r="C11" s="10" t="s">
        <v>765</v>
      </c>
      <c r="D11" s="10" t="str">
        <f>"0,8713"</f>
        <v>0,8713</v>
      </c>
      <c r="E11" s="9" t="s">
        <v>72</v>
      </c>
      <c r="F11" s="9" t="s">
        <v>64</v>
      </c>
      <c r="G11" s="10" t="s">
        <v>225</v>
      </c>
      <c r="H11" s="10" t="s">
        <v>226</v>
      </c>
      <c r="I11" s="11" t="s">
        <v>227</v>
      </c>
      <c r="J11" s="11"/>
      <c r="K11" s="11" t="s">
        <v>224</v>
      </c>
      <c r="L11" s="11" t="s">
        <v>766</v>
      </c>
      <c r="M11" s="11" t="s">
        <v>766</v>
      </c>
      <c r="N11" s="11"/>
      <c r="O11" s="11" t="s">
        <v>226</v>
      </c>
      <c r="P11" s="11"/>
      <c r="Q11" s="11"/>
      <c r="R11" s="11"/>
      <c r="S11" s="9" t="str">
        <f>"0.00"</f>
        <v>0.00</v>
      </c>
      <c r="T11" s="10" t="str">
        <f>"0,0000"</f>
        <v>0,0000</v>
      </c>
      <c r="U11" s="9"/>
    </row>
    <row r="12" spans="1:21">
      <c r="A12" s="19" t="s">
        <v>768</v>
      </c>
      <c r="B12" s="16" t="s">
        <v>769</v>
      </c>
      <c r="C12" s="16" t="s">
        <v>770</v>
      </c>
      <c r="D12" s="16" t="str">
        <f>"0,8725"</f>
        <v>0,8725</v>
      </c>
      <c r="E12" s="19" t="s">
        <v>19</v>
      </c>
      <c r="F12" s="19" t="s">
        <v>497</v>
      </c>
      <c r="G12" s="16" t="s">
        <v>538</v>
      </c>
      <c r="H12" s="16" t="s">
        <v>771</v>
      </c>
      <c r="I12" s="20" t="s">
        <v>772</v>
      </c>
      <c r="J12" s="20"/>
      <c r="K12" s="20" t="s">
        <v>756</v>
      </c>
      <c r="L12" s="16" t="s">
        <v>422</v>
      </c>
      <c r="M12" s="16" t="s">
        <v>762</v>
      </c>
      <c r="N12" s="20"/>
      <c r="O12" s="16" t="s">
        <v>755</v>
      </c>
      <c r="P12" s="20" t="s">
        <v>232</v>
      </c>
      <c r="Q12" s="16" t="s">
        <v>232</v>
      </c>
      <c r="R12" s="20"/>
      <c r="S12" s="19" t="str">
        <f>"207,5"</f>
        <v>207,5</v>
      </c>
      <c r="T12" s="16" t="str">
        <f>"181,0438"</f>
        <v>181,0438</v>
      </c>
      <c r="U12" s="19"/>
    </row>
    <row r="13" spans="1:21">
      <c r="A13" s="12" t="s">
        <v>774</v>
      </c>
      <c r="B13" s="13" t="s">
        <v>775</v>
      </c>
      <c r="C13" s="13" t="s">
        <v>770</v>
      </c>
      <c r="D13" s="13" t="str">
        <f>"0,8725"</f>
        <v>0,8725</v>
      </c>
      <c r="E13" s="12" t="s">
        <v>19</v>
      </c>
      <c r="F13" s="12" t="s">
        <v>64</v>
      </c>
      <c r="G13" s="13" t="s">
        <v>233</v>
      </c>
      <c r="H13" s="13" t="s">
        <v>372</v>
      </c>
      <c r="I13" s="14" t="s">
        <v>581</v>
      </c>
      <c r="J13" s="14"/>
      <c r="K13" s="13" t="s">
        <v>544</v>
      </c>
      <c r="L13" s="14" t="s">
        <v>549</v>
      </c>
      <c r="M13" s="13" t="s">
        <v>549</v>
      </c>
      <c r="N13" s="14"/>
      <c r="O13" s="13" t="s">
        <v>233</v>
      </c>
      <c r="P13" s="13" t="s">
        <v>372</v>
      </c>
      <c r="Q13" s="13" t="s">
        <v>177</v>
      </c>
      <c r="R13" s="14"/>
      <c r="S13" s="12" t="str">
        <f>"287,5"</f>
        <v>287,5</v>
      </c>
      <c r="T13" s="13" t="str">
        <f>"321,3308"</f>
        <v>321,3308</v>
      </c>
      <c r="U13" s="12"/>
    </row>
    <row r="15" spans="1:21" ht="15">
      <c r="A15" s="60" t="s">
        <v>30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1">
      <c r="A16" s="17" t="s">
        <v>777</v>
      </c>
      <c r="B16" s="15" t="s">
        <v>778</v>
      </c>
      <c r="C16" s="15" t="s">
        <v>779</v>
      </c>
      <c r="D16" s="15" t="str">
        <f>"0,8042"</f>
        <v>0,8042</v>
      </c>
      <c r="E16" s="17" t="s">
        <v>19</v>
      </c>
      <c r="F16" s="17" t="s">
        <v>260</v>
      </c>
      <c r="G16" s="15" t="s">
        <v>233</v>
      </c>
      <c r="H16" s="15" t="s">
        <v>235</v>
      </c>
      <c r="I16" s="18" t="s">
        <v>372</v>
      </c>
      <c r="J16" s="18"/>
      <c r="K16" s="18" t="s">
        <v>544</v>
      </c>
      <c r="L16" s="15" t="s">
        <v>549</v>
      </c>
      <c r="M16" s="18" t="s">
        <v>225</v>
      </c>
      <c r="N16" s="18"/>
      <c r="O16" s="18" t="s">
        <v>380</v>
      </c>
      <c r="P16" s="15" t="s">
        <v>232</v>
      </c>
      <c r="Q16" s="15" t="s">
        <v>233</v>
      </c>
      <c r="R16" s="18"/>
      <c r="S16" s="17" t="str">
        <f>"262,5"</f>
        <v>262,5</v>
      </c>
      <c r="T16" s="15" t="str">
        <f>"211,1025"</f>
        <v>211,1025</v>
      </c>
      <c r="U16" s="17"/>
    </row>
    <row r="18" spans="1:21" ht="15">
      <c r="A18" s="60" t="s">
        <v>54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1">
      <c r="A19" s="17" t="s">
        <v>448</v>
      </c>
      <c r="B19" s="15" t="s">
        <v>449</v>
      </c>
      <c r="C19" s="15" t="s">
        <v>450</v>
      </c>
      <c r="D19" s="15" t="str">
        <f>"0,6774"</f>
        <v>0,6774</v>
      </c>
      <c r="E19" s="17" t="s">
        <v>72</v>
      </c>
      <c r="F19" s="17" t="s">
        <v>64</v>
      </c>
      <c r="G19" s="15" t="s">
        <v>21</v>
      </c>
      <c r="H19" s="15" t="s">
        <v>378</v>
      </c>
      <c r="I19" s="15" t="s">
        <v>27</v>
      </c>
      <c r="J19" s="18"/>
      <c r="K19" s="15" t="s">
        <v>225</v>
      </c>
      <c r="L19" s="15" t="s">
        <v>537</v>
      </c>
      <c r="M19" s="15" t="s">
        <v>538</v>
      </c>
      <c r="N19" s="18"/>
      <c r="O19" s="15" t="s">
        <v>249</v>
      </c>
      <c r="P19" s="18" t="s">
        <v>52</v>
      </c>
      <c r="Q19" s="18" t="s">
        <v>52</v>
      </c>
      <c r="R19" s="18"/>
      <c r="S19" s="17" t="str">
        <f>"345,0"</f>
        <v>345,0</v>
      </c>
      <c r="T19" s="15" t="str">
        <f>"233,7030"</f>
        <v>233,7030</v>
      </c>
      <c r="U19" s="17" t="s">
        <v>451</v>
      </c>
    </row>
    <row r="21" spans="1:21" ht="15">
      <c r="A21" s="60" t="s">
        <v>30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</row>
    <row r="22" spans="1:21">
      <c r="A22" s="17" t="s">
        <v>781</v>
      </c>
      <c r="B22" s="15" t="s">
        <v>782</v>
      </c>
      <c r="C22" s="15" t="s">
        <v>783</v>
      </c>
      <c r="D22" s="15" t="str">
        <f>"0,8033"</f>
        <v>0,8033</v>
      </c>
      <c r="E22" s="17" t="s">
        <v>72</v>
      </c>
      <c r="F22" s="17" t="s">
        <v>64</v>
      </c>
      <c r="G22" s="15" t="s">
        <v>538</v>
      </c>
      <c r="H22" s="15" t="s">
        <v>226</v>
      </c>
      <c r="I22" s="15" t="s">
        <v>227</v>
      </c>
      <c r="J22" s="18"/>
      <c r="K22" s="15" t="s">
        <v>766</v>
      </c>
      <c r="L22" s="18" t="s">
        <v>214</v>
      </c>
      <c r="M22" s="15" t="s">
        <v>214</v>
      </c>
      <c r="N22" s="15" t="s">
        <v>215</v>
      </c>
      <c r="O22" s="15" t="s">
        <v>755</v>
      </c>
      <c r="P22" s="15" t="s">
        <v>380</v>
      </c>
      <c r="Q22" s="15" t="s">
        <v>232</v>
      </c>
      <c r="R22" s="18"/>
      <c r="S22" s="17" t="str">
        <f>"212,5"</f>
        <v>212,5</v>
      </c>
      <c r="T22" s="15" t="str">
        <f>"170,7013"</f>
        <v>170,7013</v>
      </c>
      <c r="U22" s="17" t="s">
        <v>451</v>
      </c>
    </row>
    <row r="24" spans="1:21" ht="15">
      <c r="A24" s="60" t="s">
        <v>45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1">
      <c r="A25" s="9" t="s">
        <v>785</v>
      </c>
      <c r="B25" s="10" t="s">
        <v>786</v>
      </c>
      <c r="C25" s="10" t="s">
        <v>787</v>
      </c>
      <c r="D25" s="10" t="str">
        <f>"0,6997"</f>
        <v>0,6997</v>
      </c>
      <c r="E25" s="9" t="s">
        <v>19</v>
      </c>
      <c r="F25" s="9" t="s">
        <v>377</v>
      </c>
      <c r="G25" s="11" t="s">
        <v>249</v>
      </c>
      <c r="H25" s="11" t="s">
        <v>249</v>
      </c>
      <c r="I25" s="10" t="s">
        <v>249</v>
      </c>
      <c r="J25" s="11"/>
      <c r="K25" s="10" t="s">
        <v>235</v>
      </c>
      <c r="L25" s="10" t="s">
        <v>236</v>
      </c>
      <c r="M25" s="10" t="s">
        <v>581</v>
      </c>
      <c r="N25" s="11"/>
      <c r="O25" s="10" t="s">
        <v>249</v>
      </c>
      <c r="P25" s="10" t="s">
        <v>53</v>
      </c>
      <c r="Q25" s="11" t="s">
        <v>301</v>
      </c>
      <c r="R25" s="11"/>
      <c r="S25" s="9" t="str">
        <f>"432,5"</f>
        <v>432,5</v>
      </c>
      <c r="T25" s="10" t="str">
        <f>"302,6202"</f>
        <v>302,6202</v>
      </c>
      <c r="U25" s="9"/>
    </row>
    <row r="26" spans="1:21">
      <c r="A26" s="19" t="s">
        <v>789</v>
      </c>
      <c r="B26" s="16" t="s">
        <v>790</v>
      </c>
      <c r="C26" s="16" t="s">
        <v>791</v>
      </c>
      <c r="D26" s="16" t="str">
        <f>"0,6716"</f>
        <v>0,6716</v>
      </c>
      <c r="E26" s="19" t="s">
        <v>19</v>
      </c>
      <c r="F26" s="19" t="s">
        <v>64</v>
      </c>
      <c r="G26" s="16" t="s">
        <v>35</v>
      </c>
      <c r="H26" s="16" t="s">
        <v>59</v>
      </c>
      <c r="I26" s="20" t="s">
        <v>36</v>
      </c>
      <c r="J26" s="20"/>
      <c r="K26" s="16" t="s">
        <v>232</v>
      </c>
      <c r="L26" s="16" t="s">
        <v>233</v>
      </c>
      <c r="M26" s="20" t="s">
        <v>234</v>
      </c>
      <c r="N26" s="20"/>
      <c r="O26" s="20" t="s">
        <v>35</v>
      </c>
      <c r="P26" s="16" t="s">
        <v>35</v>
      </c>
      <c r="Q26" s="20"/>
      <c r="R26" s="20"/>
      <c r="S26" s="19" t="str">
        <f>"520,0"</f>
        <v>520,0</v>
      </c>
      <c r="T26" s="16" t="str">
        <f>"349,2320"</f>
        <v>349,2320</v>
      </c>
      <c r="U26" s="19"/>
    </row>
    <row r="27" spans="1:21">
      <c r="A27" s="12" t="s">
        <v>793</v>
      </c>
      <c r="B27" s="13" t="s">
        <v>794</v>
      </c>
      <c r="C27" s="13" t="s">
        <v>795</v>
      </c>
      <c r="D27" s="13" t="str">
        <f>"0,6760"</f>
        <v>0,6760</v>
      </c>
      <c r="E27" s="12" t="s">
        <v>19</v>
      </c>
      <c r="F27" s="12" t="s">
        <v>796</v>
      </c>
      <c r="G27" s="13" t="s">
        <v>27</v>
      </c>
      <c r="H27" s="13" t="s">
        <v>182</v>
      </c>
      <c r="I27" s="13" t="s">
        <v>51</v>
      </c>
      <c r="J27" s="14"/>
      <c r="K27" s="13" t="s">
        <v>233</v>
      </c>
      <c r="L27" s="13" t="s">
        <v>235</v>
      </c>
      <c r="M27" s="14" t="s">
        <v>372</v>
      </c>
      <c r="N27" s="14"/>
      <c r="O27" s="13" t="s">
        <v>249</v>
      </c>
      <c r="P27" s="13" t="s">
        <v>261</v>
      </c>
      <c r="Q27" s="13" t="s">
        <v>52</v>
      </c>
      <c r="R27" s="14"/>
      <c r="S27" s="12" t="str">
        <f>"405,0"</f>
        <v>405,0</v>
      </c>
      <c r="T27" s="13" t="str">
        <f>"298,9678"</f>
        <v>298,9678</v>
      </c>
      <c r="U27" s="12"/>
    </row>
    <row r="29" spans="1:21" ht="15">
      <c r="A29" s="60" t="s">
        <v>54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1">
      <c r="A30" s="17" t="s">
        <v>472</v>
      </c>
      <c r="B30" s="15" t="s">
        <v>473</v>
      </c>
      <c r="C30" s="15" t="s">
        <v>474</v>
      </c>
      <c r="D30" s="15" t="str">
        <f>"0,6364"</f>
        <v>0,6364</v>
      </c>
      <c r="E30" s="17" t="s">
        <v>19</v>
      </c>
      <c r="F30" s="17" t="s">
        <v>247</v>
      </c>
      <c r="G30" s="15" t="s">
        <v>21</v>
      </c>
      <c r="H30" s="15" t="s">
        <v>22</v>
      </c>
      <c r="I30" s="15" t="s">
        <v>182</v>
      </c>
      <c r="J30" s="18"/>
      <c r="K30" s="15" t="s">
        <v>235</v>
      </c>
      <c r="L30" s="15" t="s">
        <v>21</v>
      </c>
      <c r="M30" s="18" t="s">
        <v>177</v>
      </c>
      <c r="N30" s="18"/>
      <c r="O30" s="15" t="s">
        <v>52</v>
      </c>
      <c r="P30" s="15" t="s">
        <v>80</v>
      </c>
      <c r="Q30" s="18" t="s">
        <v>35</v>
      </c>
      <c r="R30" s="18"/>
      <c r="S30" s="17" t="str">
        <f>"435,0"</f>
        <v>435,0</v>
      </c>
      <c r="T30" s="15" t="str">
        <f>"290,1220"</f>
        <v>290,1220</v>
      </c>
      <c r="U30" s="17"/>
    </row>
    <row r="32" spans="1:21" ht="15">
      <c r="A32" s="60" t="s">
        <v>81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</row>
    <row r="33" spans="1:21">
      <c r="A33" s="9" t="s">
        <v>798</v>
      </c>
      <c r="B33" s="10" t="s">
        <v>799</v>
      </c>
      <c r="C33" s="10" t="s">
        <v>800</v>
      </c>
      <c r="D33" s="10" t="str">
        <f>"0,5885"</f>
        <v>0,5885</v>
      </c>
      <c r="E33" s="9" t="s">
        <v>19</v>
      </c>
      <c r="F33" s="9" t="s">
        <v>64</v>
      </c>
      <c r="G33" s="10" t="s">
        <v>397</v>
      </c>
      <c r="H33" s="10" t="s">
        <v>402</v>
      </c>
      <c r="I33" s="11" t="s">
        <v>357</v>
      </c>
      <c r="J33" s="11"/>
      <c r="K33" s="10" t="s">
        <v>52</v>
      </c>
      <c r="L33" s="10" t="s">
        <v>53</v>
      </c>
      <c r="M33" s="10" t="s">
        <v>657</v>
      </c>
      <c r="N33" s="11"/>
      <c r="O33" s="10" t="s">
        <v>37</v>
      </c>
      <c r="P33" s="10" t="s">
        <v>67</v>
      </c>
      <c r="Q33" s="10" t="s">
        <v>397</v>
      </c>
      <c r="R33" s="11"/>
      <c r="S33" s="9" t="str">
        <f>"687,5"</f>
        <v>687,5</v>
      </c>
      <c r="T33" s="10" t="str">
        <f>"404,5938"</f>
        <v>404,5938</v>
      </c>
      <c r="U33" s="9"/>
    </row>
    <row r="34" spans="1:21">
      <c r="A34" s="12" t="s">
        <v>802</v>
      </c>
      <c r="B34" s="13" t="s">
        <v>803</v>
      </c>
      <c r="C34" s="13" t="s">
        <v>804</v>
      </c>
      <c r="D34" s="13" t="str">
        <f>"0,5869"</f>
        <v>0,5869</v>
      </c>
      <c r="E34" s="12" t="s">
        <v>19</v>
      </c>
      <c r="F34" s="12" t="s">
        <v>64</v>
      </c>
      <c r="G34" s="14" t="s">
        <v>92</v>
      </c>
      <c r="H34" s="13" t="s">
        <v>92</v>
      </c>
      <c r="I34" s="14"/>
      <c r="J34" s="14"/>
      <c r="K34" s="13" t="s">
        <v>51</v>
      </c>
      <c r="L34" s="14" t="s">
        <v>28</v>
      </c>
      <c r="M34" s="14" t="s">
        <v>28</v>
      </c>
      <c r="N34" s="14"/>
      <c r="O34" s="13" t="s">
        <v>65</v>
      </c>
      <c r="P34" s="14" t="s">
        <v>66</v>
      </c>
      <c r="Q34" s="14" t="s">
        <v>67</v>
      </c>
      <c r="R34" s="14"/>
      <c r="S34" s="12" t="str">
        <f>"605,0"</f>
        <v>605,0</v>
      </c>
      <c r="T34" s="13" t="str">
        <f>"355,0745"</f>
        <v>355,0745</v>
      </c>
      <c r="U34" s="12"/>
    </row>
    <row r="36" spans="1:21" ht="15">
      <c r="A36" s="60" t="s">
        <v>87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</row>
    <row r="37" spans="1:21">
      <c r="A37" s="17" t="s">
        <v>806</v>
      </c>
      <c r="B37" s="15" t="s">
        <v>807</v>
      </c>
      <c r="C37" s="15" t="s">
        <v>488</v>
      </c>
      <c r="D37" s="15" t="str">
        <f>"0,5581"</f>
        <v>0,5581</v>
      </c>
      <c r="E37" s="17" t="s">
        <v>19</v>
      </c>
      <c r="F37" s="17" t="s">
        <v>575</v>
      </c>
      <c r="G37" s="15" t="s">
        <v>43</v>
      </c>
      <c r="H37" s="15" t="s">
        <v>36</v>
      </c>
      <c r="I37" s="15" t="s">
        <v>92</v>
      </c>
      <c r="J37" s="18"/>
      <c r="K37" s="15" t="s">
        <v>182</v>
      </c>
      <c r="L37" s="15" t="s">
        <v>28</v>
      </c>
      <c r="M37" s="15" t="s">
        <v>249</v>
      </c>
      <c r="N37" s="18"/>
      <c r="O37" s="15" t="s">
        <v>59</v>
      </c>
      <c r="P37" s="15" t="s">
        <v>37</v>
      </c>
      <c r="Q37" s="15" t="s">
        <v>67</v>
      </c>
      <c r="R37" s="18"/>
      <c r="S37" s="17" t="str">
        <f>"630,0"</f>
        <v>630,0</v>
      </c>
      <c r="T37" s="15" t="str">
        <f>"351,6030"</f>
        <v>351,6030</v>
      </c>
      <c r="U37" s="17"/>
    </row>
    <row r="39" spans="1:21" ht="15">
      <c r="A39" s="60" t="s">
        <v>94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</row>
    <row r="40" spans="1:21">
      <c r="A40" s="9" t="s">
        <v>494</v>
      </c>
      <c r="B40" s="10" t="s">
        <v>495</v>
      </c>
      <c r="C40" s="10" t="s">
        <v>496</v>
      </c>
      <c r="D40" s="10" t="str">
        <f>"0,5372"</f>
        <v>0,5372</v>
      </c>
      <c r="E40" s="9" t="s">
        <v>19</v>
      </c>
      <c r="F40" s="9" t="s">
        <v>497</v>
      </c>
      <c r="G40" s="10" t="s">
        <v>66</v>
      </c>
      <c r="H40" s="10" t="s">
        <v>397</v>
      </c>
      <c r="I40" s="11"/>
      <c r="J40" s="11"/>
      <c r="K40" s="10" t="s">
        <v>250</v>
      </c>
      <c r="L40" s="11" t="s">
        <v>623</v>
      </c>
      <c r="M40" s="10" t="s">
        <v>623</v>
      </c>
      <c r="N40" s="11"/>
      <c r="O40" s="10" t="s">
        <v>104</v>
      </c>
      <c r="P40" s="10" t="s">
        <v>357</v>
      </c>
      <c r="Q40" s="11"/>
      <c r="R40" s="11"/>
      <c r="S40" s="9" t="str">
        <f>"692,5"</f>
        <v>692,5</v>
      </c>
      <c r="T40" s="10" t="str">
        <f>"372,0110"</f>
        <v>372,0110</v>
      </c>
      <c r="U40" s="9"/>
    </row>
    <row r="41" spans="1:21">
      <c r="A41" s="19" t="s">
        <v>809</v>
      </c>
      <c r="B41" s="16" t="s">
        <v>810</v>
      </c>
      <c r="C41" s="16" t="s">
        <v>811</v>
      </c>
      <c r="D41" s="16" t="str">
        <f>"0,5398"</f>
        <v>0,5398</v>
      </c>
      <c r="E41" s="19" t="s">
        <v>19</v>
      </c>
      <c r="F41" s="19" t="s">
        <v>64</v>
      </c>
      <c r="G41" s="16" t="s">
        <v>78</v>
      </c>
      <c r="H41" s="16" t="s">
        <v>79</v>
      </c>
      <c r="I41" s="16" t="s">
        <v>677</v>
      </c>
      <c r="J41" s="20"/>
      <c r="K41" s="16" t="s">
        <v>177</v>
      </c>
      <c r="L41" s="16" t="s">
        <v>27</v>
      </c>
      <c r="M41" s="16" t="s">
        <v>51</v>
      </c>
      <c r="N41" s="20"/>
      <c r="O41" s="16" t="s">
        <v>79</v>
      </c>
      <c r="P41" s="16" t="s">
        <v>125</v>
      </c>
      <c r="Q41" s="16" t="s">
        <v>43</v>
      </c>
      <c r="R41" s="20"/>
      <c r="S41" s="19" t="str">
        <f>"537,5"</f>
        <v>537,5</v>
      </c>
      <c r="T41" s="16" t="str">
        <f>"290,1425"</f>
        <v>290,1425</v>
      </c>
      <c r="U41" s="19"/>
    </row>
    <row r="42" spans="1:21">
      <c r="A42" s="12" t="s">
        <v>494</v>
      </c>
      <c r="B42" s="13" t="s">
        <v>502</v>
      </c>
      <c r="C42" s="13" t="s">
        <v>496</v>
      </c>
      <c r="D42" s="13" t="str">
        <f>"0,5372"</f>
        <v>0,5372</v>
      </c>
      <c r="E42" s="12" t="s">
        <v>19</v>
      </c>
      <c r="F42" s="12" t="s">
        <v>497</v>
      </c>
      <c r="G42" s="13" t="s">
        <v>66</v>
      </c>
      <c r="H42" s="13" t="s">
        <v>397</v>
      </c>
      <c r="I42" s="14"/>
      <c r="J42" s="14"/>
      <c r="K42" s="13" t="s">
        <v>250</v>
      </c>
      <c r="L42" s="14" t="s">
        <v>623</v>
      </c>
      <c r="M42" s="13" t="s">
        <v>623</v>
      </c>
      <c r="N42" s="14"/>
      <c r="O42" s="13" t="s">
        <v>104</v>
      </c>
      <c r="P42" s="13" t="s">
        <v>357</v>
      </c>
      <c r="Q42" s="14"/>
      <c r="R42" s="14"/>
      <c r="S42" s="12" t="str">
        <f>"692,5"</f>
        <v>692,5</v>
      </c>
      <c r="T42" s="13" t="str">
        <f>"372,0110"</f>
        <v>372,0110</v>
      </c>
      <c r="U42" s="12"/>
    </row>
    <row r="44" spans="1:21" ht="15">
      <c r="A44" s="60" t="s">
        <v>112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1">
      <c r="A45" s="17" t="s">
        <v>504</v>
      </c>
      <c r="B45" s="15" t="s">
        <v>1100</v>
      </c>
      <c r="C45" s="15" t="s">
        <v>505</v>
      </c>
      <c r="D45" s="15" t="str">
        <f>"0,5235"</f>
        <v>0,5235</v>
      </c>
      <c r="E45" s="17" t="s">
        <v>456</v>
      </c>
      <c r="F45" s="17" t="s">
        <v>64</v>
      </c>
      <c r="G45" s="15" t="s">
        <v>79</v>
      </c>
      <c r="H45" s="15" t="s">
        <v>125</v>
      </c>
      <c r="I45" s="15" t="s">
        <v>126</v>
      </c>
      <c r="J45" s="18"/>
      <c r="K45" s="15" t="s">
        <v>232</v>
      </c>
      <c r="L45" s="15" t="s">
        <v>446</v>
      </c>
      <c r="M45" s="15" t="s">
        <v>235</v>
      </c>
      <c r="N45" s="18"/>
      <c r="O45" s="18" t="s">
        <v>111</v>
      </c>
      <c r="P45" s="15" t="s">
        <v>111</v>
      </c>
      <c r="Q45" s="18" t="s">
        <v>73</v>
      </c>
      <c r="R45" s="18"/>
      <c r="S45" s="17" t="str">
        <f>"500,0"</f>
        <v>500,0</v>
      </c>
      <c r="T45" s="15" t="str">
        <f>"261,7500"</f>
        <v>261,7500</v>
      </c>
      <c r="U45" s="17"/>
    </row>
    <row r="47" spans="1:21" ht="15">
      <c r="E47" s="21" t="s">
        <v>128</v>
      </c>
    </row>
    <row r="48" spans="1:21" ht="15">
      <c r="E48" s="21" t="s">
        <v>129</v>
      </c>
    </row>
    <row r="49" spans="1:5" ht="15">
      <c r="E49" s="21" t="s">
        <v>130</v>
      </c>
    </row>
    <row r="50" spans="1:5">
      <c r="E50" s="4" t="s">
        <v>131</v>
      </c>
    </row>
    <row r="51" spans="1:5">
      <c r="E51" s="4" t="s">
        <v>132</v>
      </c>
    </row>
    <row r="52" spans="1:5">
      <c r="E52" s="4" t="s">
        <v>133</v>
      </c>
    </row>
    <row r="55" spans="1:5" ht="18">
      <c r="A55" s="22" t="s">
        <v>134</v>
      </c>
      <c r="B55" s="23"/>
    </row>
    <row r="56" spans="1:5" ht="15">
      <c r="A56" s="24" t="s">
        <v>135</v>
      </c>
      <c r="B56" s="25"/>
    </row>
    <row r="57" spans="1:5" ht="14.25">
      <c r="A57" s="27"/>
      <c r="B57" s="28" t="s">
        <v>143</v>
      </c>
    </row>
    <row r="58" spans="1:5" ht="15">
      <c r="A58" s="29" t="s">
        <v>0</v>
      </c>
      <c r="B58" s="29" t="s">
        <v>137</v>
      </c>
      <c r="C58" s="29" t="s">
        <v>138</v>
      </c>
      <c r="D58" s="29" t="s">
        <v>139</v>
      </c>
      <c r="E58" s="29" t="s">
        <v>12</v>
      </c>
    </row>
    <row r="59" spans="1:5">
      <c r="A59" s="26" t="s">
        <v>747</v>
      </c>
      <c r="B59" s="5" t="s">
        <v>143</v>
      </c>
      <c r="C59" s="5" t="s">
        <v>812</v>
      </c>
      <c r="D59" s="5" t="s">
        <v>813</v>
      </c>
      <c r="E59" s="30" t="s">
        <v>814</v>
      </c>
    </row>
    <row r="60" spans="1:5">
      <c r="A60" s="26" t="s">
        <v>752</v>
      </c>
      <c r="B60" s="5" t="s">
        <v>143</v>
      </c>
      <c r="C60" s="5" t="s">
        <v>812</v>
      </c>
      <c r="D60" s="5" t="s">
        <v>92</v>
      </c>
      <c r="E60" s="30" t="s">
        <v>815</v>
      </c>
    </row>
    <row r="61" spans="1:5">
      <c r="A61" s="26" t="s">
        <v>757</v>
      </c>
      <c r="B61" s="5" t="s">
        <v>143</v>
      </c>
      <c r="C61" s="5" t="s">
        <v>812</v>
      </c>
      <c r="D61" s="5" t="s">
        <v>816</v>
      </c>
      <c r="E61" s="30" t="s">
        <v>817</v>
      </c>
    </row>
    <row r="62" spans="1:5">
      <c r="A62" s="26" t="s">
        <v>447</v>
      </c>
      <c r="B62" s="5" t="s">
        <v>143</v>
      </c>
      <c r="C62" s="5" t="s">
        <v>147</v>
      </c>
      <c r="D62" s="5" t="s">
        <v>818</v>
      </c>
      <c r="E62" s="30" t="s">
        <v>819</v>
      </c>
    </row>
    <row r="63" spans="1:5">
      <c r="A63" s="26" t="s">
        <v>776</v>
      </c>
      <c r="B63" s="5" t="s">
        <v>143</v>
      </c>
      <c r="C63" s="5" t="s">
        <v>151</v>
      </c>
      <c r="D63" s="5" t="s">
        <v>820</v>
      </c>
      <c r="E63" s="30" t="s">
        <v>821</v>
      </c>
    </row>
    <row r="64" spans="1:5">
      <c r="A64" s="26" t="s">
        <v>767</v>
      </c>
      <c r="B64" s="5" t="s">
        <v>143</v>
      </c>
      <c r="C64" s="5" t="s">
        <v>141</v>
      </c>
      <c r="D64" s="5" t="s">
        <v>307</v>
      </c>
      <c r="E64" s="30" t="s">
        <v>822</v>
      </c>
    </row>
    <row r="66" spans="1:5" ht="14.25">
      <c r="A66" s="27"/>
      <c r="B66" s="28" t="s">
        <v>164</v>
      </c>
    </row>
    <row r="67" spans="1:5" ht="15">
      <c r="A67" s="29" t="s">
        <v>0</v>
      </c>
      <c r="B67" s="29" t="s">
        <v>137</v>
      </c>
      <c r="C67" s="29" t="s">
        <v>138</v>
      </c>
      <c r="D67" s="29" t="s">
        <v>139</v>
      </c>
      <c r="E67" s="29" t="s">
        <v>12</v>
      </c>
    </row>
    <row r="68" spans="1:5">
      <c r="A68" s="26" t="s">
        <v>773</v>
      </c>
      <c r="B68" s="5" t="s">
        <v>336</v>
      </c>
      <c r="C68" s="5" t="s">
        <v>141</v>
      </c>
      <c r="D68" s="5" t="s">
        <v>823</v>
      </c>
      <c r="E68" s="30" t="s">
        <v>824</v>
      </c>
    </row>
    <row r="71" spans="1:5" ht="15">
      <c r="A71" s="24" t="s">
        <v>145</v>
      </c>
      <c r="B71" s="25"/>
    </row>
    <row r="72" spans="1:5" ht="14.25">
      <c r="A72" s="27"/>
      <c r="B72" s="28" t="s">
        <v>825</v>
      </c>
    </row>
    <row r="73" spans="1:5" ht="15">
      <c r="A73" s="29" t="s">
        <v>0</v>
      </c>
      <c r="B73" s="29" t="s">
        <v>137</v>
      </c>
      <c r="C73" s="29" t="s">
        <v>138</v>
      </c>
      <c r="D73" s="29" t="s">
        <v>139</v>
      </c>
      <c r="E73" s="29" t="s">
        <v>12</v>
      </c>
    </row>
    <row r="74" spans="1:5">
      <c r="A74" s="26" t="s">
        <v>780</v>
      </c>
      <c r="B74" s="5" t="s">
        <v>826</v>
      </c>
      <c r="C74" s="5" t="s">
        <v>151</v>
      </c>
      <c r="D74" s="5" t="s">
        <v>479</v>
      </c>
      <c r="E74" s="30" t="s">
        <v>827</v>
      </c>
    </row>
    <row r="76" spans="1:5" ht="14.25">
      <c r="A76" s="27"/>
      <c r="B76" s="28" t="s">
        <v>136</v>
      </c>
    </row>
    <row r="77" spans="1:5" ht="15">
      <c r="A77" s="29" t="s">
        <v>0</v>
      </c>
      <c r="B77" s="29" t="s">
        <v>137</v>
      </c>
      <c r="C77" s="29" t="s">
        <v>138</v>
      </c>
      <c r="D77" s="29" t="s">
        <v>139</v>
      </c>
      <c r="E77" s="29" t="s">
        <v>12</v>
      </c>
    </row>
    <row r="78" spans="1:5">
      <c r="A78" s="26" t="s">
        <v>784</v>
      </c>
      <c r="B78" s="5" t="s">
        <v>146</v>
      </c>
      <c r="C78" s="5" t="s">
        <v>173</v>
      </c>
      <c r="D78" s="5" t="s">
        <v>828</v>
      </c>
      <c r="E78" s="30" t="s">
        <v>829</v>
      </c>
    </row>
    <row r="79" spans="1:5">
      <c r="A79" s="26" t="s">
        <v>503</v>
      </c>
      <c r="B79" s="5" t="s">
        <v>140</v>
      </c>
      <c r="C79" s="5" t="s">
        <v>153</v>
      </c>
      <c r="D79" s="5" t="s">
        <v>830</v>
      </c>
      <c r="E79" s="30" t="s">
        <v>831</v>
      </c>
    </row>
    <row r="81" spans="1:5" ht="14.25">
      <c r="A81" s="27"/>
      <c r="B81" s="28" t="s">
        <v>143</v>
      </c>
    </row>
    <row r="82" spans="1:5" ht="15">
      <c r="A82" s="29" t="s">
        <v>0</v>
      </c>
      <c r="B82" s="29" t="s">
        <v>137</v>
      </c>
      <c r="C82" s="29" t="s">
        <v>138</v>
      </c>
      <c r="D82" s="29" t="s">
        <v>139</v>
      </c>
      <c r="E82" s="29" t="s">
        <v>12</v>
      </c>
    </row>
    <row r="83" spans="1:5">
      <c r="A83" s="26" t="s">
        <v>797</v>
      </c>
      <c r="B83" s="5" t="s">
        <v>143</v>
      </c>
      <c r="C83" s="5" t="s">
        <v>166</v>
      </c>
      <c r="D83" s="5" t="s">
        <v>832</v>
      </c>
      <c r="E83" s="30" t="s">
        <v>833</v>
      </c>
    </row>
    <row r="84" spans="1:5">
      <c r="A84" s="26" t="s">
        <v>493</v>
      </c>
      <c r="B84" s="5" t="s">
        <v>143</v>
      </c>
      <c r="C84" s="5" t="s">
        <v>155</v>
      </c>
      <c r="D84" s="5" t="s">
        <v>834</v>
      </c>
      <c r="E84" s="30" t="s">
        <v>835</v>
      </c>
    </row>
    <row r="85" spans="1:5">
      <c r="A85" s="26" t="s">
        <v>801</v>
      </c>
      <c r="B85" s="5" t="s">
        <v>143</v>
      </c>
      <c r="C85" s="5" t="s">
        <v>166</v>
      </c>
      <c r="D85" s="5" t="s">
        <v>836</v>
      </c>
      <c r="E85" s="30" t="s">
        <v>837</v>
      </c>
    </row>
    <row r="86" spans="1:5">
      <c r="A86" s="26" t="s">
        <v>805</v>
      </c>
      <c r="B86" s="5" t="s">
        <v>143</v>
      </c>
      <c r="C86" s="5" t="s">
        <v>161</v>
      </c>
      <c r="D86" s="5" t="s">
        <v>838</v>
      </c>
      <c r="E86" s="30" t="s">
        <v>839</v>
      </c>
    </row>
    <row r="87" spans="1:5">
      <c r="A87" s="26" t="s">
        <v>788</v>
      </c>
      <c r="B87" s="5" t="s">
        <v>143</v>
      </c>
      <c r="C87" s="5" t="s">
        <v>173</v>
      </c>
      <c r="D87" s="5" t="s">
        <v>840</v>
      </c>
      <c r="E87" s="30" t="s">
        <v>841</v>
      </c>
    </row>
    <row r="88" spans="1:5">
      <c r="A88" s="26" t="s">
        <v>808</v>
      </c>
      <c r="B88" s="5" t="s">
        <v>143</v>
      </c>
      <c r="C88" s="5" t="s">
        <v>155</v>
      </c>
      <c r="D88" s="5" t="s">
        <v>842</v>
      </c>
      <c r="E88" s="30" t="s">
        <v>843</v>
      </c>
    </row>
    <row r="90" spans="1:5" ht="14.25">
      <c r="A90" s="27"/>
      <c r="B90" s="28" t="s">
        <v>328</v>
      </c>
    </row>
    <row r="91" spans="1:5" ht="15">
      <c r="A91" s="29" t="s">
        <v>0</v>
      </c>
      <c r="B91" s="29" t="s">
        <v>137</v>
      </c>
      <c r="C91" s="29" t="s">
        <v>138</v>
      </c>
      <c r="D91" s="29" t="s">
        <v>139</v>
      </c>
      <c r="E91" s="29" t="s">
        <v>12</v>
      </c>
    </row>
    <row r="92" spans="1:5">
      <c r="A92" s="26" t="s">
        <v>493</v>
      </c>
      <c r="B92" s="5" t="s">
        <v>329</v>
      </c>
      <c r="C92" s="5" t="s">
        <v>155</v>
      </c>
      <c r="D92" s="5" t="s">
        <v>834</v>
      </c>
      <c r="E92" s="30" t="s">
        <v>835</v>
      </c>
    </row>
    <row r="94" spans="1:5" ht="14.25">
      <c r="A94" s="27"/>
      <c r="B94" s="28" t="s">
        <v>164</v>
      </c>
    </row>
    <row r="95" spans="1:5" ht="15">
      <c r="A95" s="29" t="s">
        <v>0</v>
      </c>
      <c r="B95" s="29" t="s">
        <v>137</v>
      </c>
      <c r="C95" s="29" t="s">
        <v>138</v>
      </c>
      <c r="D95" s="29" t="s">
        <v>139</v>
      </c>
      <c r="E95" s="29" t="s">
        <v>12</v>
      </c>
    </row>
    <row r="96" spans="1:5">
      <c r="A96" s="26" t="s">
        <v>792</v>
      </c>
      <c r="B96" s="5" t="s">
        <v>339</v>
      </c>
      <c r="C96" s="5" t="s">
        <v>173</v>
      </c>
      <c r="D96" s="5" t="s">
        <v>844</v>
      </c>
      <c r="E96" s="30" t="s">
        <v>845</v>
      </c>
    </row>
    <row r="97" spans="1:5">
      <c r="A97" s="26" t="s">
        <v>471</v>
      </c>
      <c r="B97" s="5" t="s">
        <v>339</v>
      </c>
      <c r="C97" s="5" t="s">
        <v>147</v>
      </c>
      <c r="D97" s="5" t="s">
        <v>846</v>
      </c>
      <c r="E97" s="30" t="s">
        <v>847</v>
      </c>
    </row>
  </sheetData>
  <mergeCells count="24">
    <mergeCell ref="A15:T1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10:T10"/>
    <mergeCell ref="A39:T39"/>
    <mergeCell ref="A44:T44"/>
    <mergeCell ref="A18:T18"/>
    <mergeCell ref="A21:T21"/>
    <mergeCell ref="A24:T24"/>
    <mergeCell ref="A29:T29"/>
    <mergeCell ref="A32:T32"/>
    <mergeCell ref="A36:T3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G3" sqref="G3:J3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740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742</v>
      </c>
      <c r="B6" s="15" t="s">
        <v>743</v>
      </c>
      <c r="C6" s="15" t="s">
        <v>585</v>
      </c>
      <c r="D6" s="15" t="str">
        <f>"0,6214"</f>
        <v>0,6214</v>
      </c>
      <c r="E6" s="17" t="s">
        <v>19</v>
      </c>
      <c r="F6" s="17" t="s">
        <v>64</v>
      </c>
      <c r="G6" s="15" t="s">
        <v>92</v>
      </c>
      <c r="H6" s="15" t="s">
        <v>37</v>
      </c>
      <c r="I6" s="18" t="s">
        <v>67</v>
      </c>
      <c r="J6" s="18"/>
      <c r="K6" s="17" t="str">
        <f>"240,0"</f>
        <v>240,0</v>
      </c>
      <c r="L6" s="15" t="str">
        <f>"149,1360"</f>
        <v>149,1360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E8" s="21" t="s">
        <v>128</v>
      </c>
    </row>
    <row r="9" spans="1:13" ht="15">
      <c r="E9" s="21" t="s">
        <v>129</v>
      </c>
    </row>
    <row r="10" spans="1:13" ht="15">
      <c r="E10" s="21" t="s">
        <v>130</v>
      </c>
    </row>
    <row r="11" spans="1:13">
      <c r="E11" s="4" t="s">
        <v>131</v>
      </c>
    </row>
    <row r="12" spans="1:13">
      <c r="E12" s="4" t="s">
        <v>132</v>
      </c>
    </row>
    <row r="13" spans="1:13">
      <c r="E13" s="4" t="s">
        <v>133</v>
      </c>
    </row>
    <row r="16" spans="1:13" ht="18">
      <c r="A16" s="22" t="s">
        <v>134</v>
      </c>
      <c r="B16" s="23"/>
    </row>
    <row r="17" spans="1:5" ht="15">
      <c r="A17" s="24" t="s">
        <v>145</v>
      </c>
      <c r="B17" s="25"/>
    </row>
    <row r="18" spans="1:5" ht="14.25">
      <c r="A18" s="27"/>
      <c r="B18" s="28" t="s">
        <v>143</v>
      </c>
    </row>
    <row r="19" spans="1:5" ht="15">
      <c r="A19" s="29" t="s">
        <v>0</v>
      </c>
      <c r="B19" s="29" t="s">
        <v>137</v>
      </c>
      <c r="C19" s="29" t="s">
        <v>138</v>
      </c>
      <c r="D19" s="29" t="s">
        <v>139</v>
      </c>
      <c r="E19" s="29" t="s">
        <v>12</v>
      </c>
    </row>
    <row r="20" spans="1:5">
      <c r="A20" s="26" t="s">
        <v>741</v>
      </c>
      <c r="B20" s="5" t="s">
        <v>143</v>
      </c>
      <c r="C20" s="5" t="s">
        <v>147</v>
      </c>
      <c r="D20" s="5" t="s">
        <v>37</v>
      </c>
      <c r="E20" s="30" t="s">
        <v>744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733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87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735</v>
      </c>
      <c r="B6" s="15" t="s">
        <v>736</v>
      </c>
      <c r="C6" s="15" t="s">
        <v>609</v>
      </c>
      <c r="D6" s="15" t="str">
        <f>"0,5586"</f>
        <v>0,5586</v>
      </c>
      <c r="E6" s="17" t="s">
        <v>19</v>
      </c>
      <c r="F6" s="17" t="s">
        <v>737</v>
      </c>
      <c r="G6" s="15" t="s">
        <v>59</v>
      </c>
      <c r="H6" s="18" t="s">
        <v>738</v>
      </c>
      <c r="I6" s="18" t="s">
        <v>738</v>
      </c>
      <c r="J6" s="18"/>
      <c r="K6" s="17" t="str">
        <f>"220,0"</f>
        <v>220,0</v>
      </c>
      <c r="L6" s="15" t="str">
        <f>"122,8920"</f>
        <v>122,8920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E8" s="21" t="s">
        <v>128</v>
      </c>
    </row>
    <row r="9" spans="1:13" ht="15">
      <c r="E9" s="21" t="s">
        <v>129</v>
      </c>
    </row>
    <row r="10" spans="1:13" ht="15">
      <c r="E10" s="21" t="s">
        <v>130</v>
      </c>
    </row>
    <row r="11" spans="1:13">
      <c r="E11" s="4" t="s">
        <v>131</v>
      </c>
    </row>
    <row r="12" spans="1:13">
      <c r="E12" s="4" t="s">
        <v>132</v>
      </c>
    </row>
    <row r="13" spans="1:13">
      <c r="E13" s="4" t="s">
        <v>133</v>
      </c>
    </row>
    <row r="16" spans="1:13" ht="18">
      <c r="A16" s="22" t="s">
        <v>134</v>
      </c>
      <c r="B16" s="23"/>
    </row>
    <row r="17" spans="1:5" ht="15">
      <c r="A17" s="24" t="s">
        <v>145</v>
      </c>
      <c r="B17" s="25"/>
    </row>
    <row r="18" spans="1:5" ht="14.25">
      <c r="A18" s="27"/>
      <c r="B18" s="28" t="s">
        <v>164</v>
      </c>
    </row>
    <row r="19" spans="1:5" ht="15">
      <c r="A19" s="29" t="s">
        <v>0</v>
      </c>
      <c r="B19" s="29" t="s">
        <v>137</v>
      </c>
      <c r="C19" s="29" t="s">
        <v>138</v>
      </c>
      <c r="D19" s="29" t="s">
        <v>139</v>
      </c>
      <c r="E19" s="29" t="s">
        <v>12</v>
      </c>
    </row>
    <row r="20" spans="1:5">
      <c r="A20" s="26" t="s">
        <v>734</v>
      </c>
      <c r="B20" s="5" t="s">
        <v>172</v>
      </c>
      <c r="C20" s="5" t="s">
        <v>161</v>
      </c>
      <c r="D20" s="5" t="s">
        <v>59</v>
      </c>
      <c r="E20" s="30" t="s">
        <v>739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138"/>
  <sheetViews>
    <sheetView topLeftCell="A49" workbookViewId="0">
      <selection activeCell="B58" sqref="B58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22" style="4" bestFit="1" customWidth="1"/>
    <col min="6" max="6" width="20.140625" style="4" bestFit="1" customWidth="1"/>
    <col min="7" max="10" width="5.570312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532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217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9" t="s">
        <v>534</v>
      </c>
      <c r="B6" s="10" t="s">
        <v>535</v>
      </c>
      <c r="C6" s="10" t="s">
        <v>536</v>
      </c>
      <c r="D6" s="10" t="str">
        <f>"0,9194"</f>
        <v>0,9194</v>
      </c>
      <c r="E6" s="9" t="s">
        <v>19</v>
      </c>
      <c r="F6" s="9" t="s">
        <v>279</v>
      </c>
      <c r="G6" s="10" t="s">
        <v>537</v>
      </c>
      <c r="H6" s="10" t="s">
        <v>538</v>
      </c>
      <c r="I6" s="11" t="s">
        <v>539</v>
      </c>
      <c r="J6" s="11"/>
      <c r="K6" s="9" t="str">
        <f>"65,0"</f>
        <v>65,0</v>
      </c>
      <c r="L6" s="10" t="str">
        <f>"59,7610"</f>
        <v>59,7610</v>
      </c>
      <c r="M6" s="9"/>
    </row>
    <row r="7" spans="1:13" s="5" customFormat="1">
      <c r="A7" s="12" t="s">
        <v>541</v>
      </c>
      <c r="B7" s="13" t="s">
        <v>542</v>
      </c>
      <c r="C7" s="13" t="s">
        <v>543</v>
      </c>
      <c r="D7" s="13" t="str">
        <f>"0,9140"</f>
        <v>0,9140</v>
      </c>
      <c r="E7" s="12" t="s">
        <v>19</v>
      </c>
      <c r="F7" s="12" t="s">
        <v>260</v>
      </c>
      <c r="G7" s="13" t="s">
        <v>215</v>
      </c>
      <c r="H7" s="14" t="s">
        <v>544</v>
      </c>
      <c r="I7" s="14" t="s">
        <v>544</v>
      </c>
      <c r="J7" s="14"/>
      <c r="K7" s="12" t="str">
        <f>"50,0"</f>
        <v>50,0</v>
      </c>
      <c r="L7" s="13" t="str">
        <f>"45,7000"</f>
        <v>45,7000</v>
      </c>
      <c r="M7" s="12"/>
    </row>
    <row r="9" spans="1:13" ht="15">
      <c r="A9" s="60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3">
      <c r="A10" s="17" t="s">
        <v>546</v>
      </c>
      <c r="B10" s="15" t="s">
        <v>547</v>
      </c>
      <c r="C10" s="15" t="s">
        <v>548</v>
      </c>
      <c r="D10" s="15" t="str">
        <f>"0,8628"</f>
        <v>0,8628</v>
      </c>
      <c r="E10" s="17" t="s">
        <v>72</v>
      </c>
      <c r="F10" s="17" t="s">
        <v>64</v>
      </c>
      <c r="G10" s="15" t="s">
        <v>216</v>
      </c>
      <c r="H10" s="18" t="s">
        <v>549</v>
      </c>
      <c r="I10" s="18" t="s">
        <v>549</v>
      </c>
      <c r="J10" s="18"/>
      <c r="K10" s="17" t="str">
        <f>"52,5"</f>
        <v>52,5</v>
      </c>
      <c r="L10" s="15" t="str">
        <f>"45,2970"</f>
        <v>45,2970</v>
      </c>
      <c r="M10" s="17"/>
    </row>
    <row r="12" spans="1:13" ht="15">
      <c r="A12" s="60" t="s">
        <v>30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3">
      <c r="A13" s="17" t="s">
        <v>551</v>
      </c>
      <c r="B13" s="15" t="s">
        <v>552</v>
      </c>
      <c r="C13" s="15" t="s">
        <v>553</v>
      </c>
      <c r="D13" s="15" t="str">
        <f>"0,8021"</f>
        <v>0,8021</v>
      </c>
      <c r="E13" s="17" t="s">
        <v>19</v>
      </c>
      <c r="F13" s="17" t="s">
        <v>279</v>
      </c>
      <c r="G13" s="15" t="s">
        <v>538</v>
      </c>
      <c r="H13" s="18" t="s">
        <v>227</v>
      </c>
      <c r="I13" s="18" t="s">
        <v>227</v>
      </c>
      <c r="J13" s="18"/>
      <c r="K13" s="17" t="str">
        <f>"65,0"</f>
        <v>65,0</v>
      </c>
      <c r="L13" s="15" t="str">
        <f>"52,1365"</f>
        <v>52,1365</v>
      </c>
      <c r="M13" s="17"/>
    </row>
    <row r="15" spans="1:13" ht="15">
      <c r="A15" s="60" t="s">
        <v>45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3">
      <c r="A16" s="17" t="s">
        <v>555</v>
      </c>
      <c r="B16" s="15" t="s">
        <v>556</v>
      </c>
      <c r="C16" s="15" t="s">
        <v>529</v>
      </c>
      <c r="D16" s="15" t="str">
        <f>"0,7409"</f>
        <v>0,7409</v>
      </c>
      <c r="E16" s="17" t="s">
        <v>19</v>
      </c>
      <c r="F16" s="17" t="s">
        <v>557</v>
      </c>
      <c r="G16" s="15" t="s">
        <v>214</v>
      </c>
      <c r="H16" s="18" t="s">
        <v>215</v>
      </c>
      <c r="I16" s="18" t="s">
        <v>215</v>
      </c>
      <c r="J16" s="18"/>
      <c r="K16" s="17" t="str">
        <f>"47,5"</f>
        <v>47,5</v>
      </c>
      <c r="L16" s="15" t="str">
        <f>"37,6210"</f>
        <v>37,6210</v>
      </c>
      <c r="M16" s="17"/>
    </row>
    <row r="18" spans="1:13" ht="15">
      <c r="A18" s="60" t="s">
        <v>54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3">
      <c r="A19" s="17" t="s">
        <v>559</v>
      </c>
      <c r="B19" s="15" t="s">
        <v>560</v>
      </c>
      <c r="C19" s="15" t="s">
        <v>77</v>
      </c>
      <c r="D19" s="15" t="str">
        <f>"0,7040"</f>
        <v>0,7040</v>
      </c>
      <c r="E19" s="17" t="s">
        <v>19</v>
      </c>
      <c r="F19" s="17" t="s">
        <v>561</v>
      </c>
      <c r="G19" s="15" t="s">
        <v>544</v>
      </c>
      <c r="H19" s="18" t="s">
        <v>225</v>
      </c>
      <c r="I19" s="18" t="s">
        <v>225</v>
      </c>
      <c r="J19" s="18"/>
      <c r="K19" s="17" t="str">
        <f>"55,0"</f>
        <v>55,0</v>
      </c>
      <c r="L19" s="15" t="str">
        <f>"38,7200"</f>
        <v>38,7200</v>
      </c>
      <c r="M19" s="17"/>
    </row>
    <row r="21" spans="1:13" ht="15">
      <c r="A21" s="60" t="s">
        <v>30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</row>
    <row r="22" spans="1:13">
      <c r="A22" s="9" t="s">
        <v>563</v>
      </c>
      <c r="B22" s="10" t="s">
        <v>564</v>
      </c>
      <c r="C22" s="10" t="s">
        <v>565</v>
      </c>
      <c r="D22" s="10" t="str">
        <f>"0,7471"</f>
        <v>0,7471</v>
      </c>
      <c r="E22" s="9" t="s">
        <v>19</v>
      </c>
      <c r="F22" s="9" t="s">
        <v>64</v>
      </c>
      <c r="G22" s="10" t="s">
        <v>22</v>
      </c>
      <c r="H22" s="10" t="s">
        <v>182</v>
      </c>
      <c r="I22" s="10" t="s">
        <v>566</v>
      </c>
      <c r="J22" s="11"/>
      <c r="K22" s="9" t="str">
        <f>"137,5"</f>
        <v>137,5</v>
      </c>
      <c r="L22" s="10" t="str">
        <f>"102,7262"</f>
        <v>102,7262</v>
      </c>
      <c r="M22" s="9"/>
    </row>
    <row r="23" spans="1:13">
      <c r="A23" s="12" t="s">
        <v>568</v>
      </c>
      <c r="B23" s="13" t="s">
        <v>569</v>
      </c>
      <c r="C23" s="13" t="s">
        <v>570</v>
      </c>
      <c r="D23" s="13" t="str">
        <f>"0,7377"</f>
        <v>0,7377</v>
      </c>
      <c r="E23" s="12" t="s">
        <v>19</v>
      </c>
      <c r="F23" s="12" t="s">
        <v>64</v>
      </c>
      <c r="G23" s="13" t="s">
        <v>446</v>
      </c>
      <c r="H23" s="14" t="s">
        <v>457</v>
      </c>
      <c r="I23" s="14" t="s">
        <v>457</v>
      </c>
      <c r="J23" s="14"/>
      <c r="K23" s="12" t="str">
        <f>"97,5"</f>
        <v>97,5</v>
      </c>
      <c r="L23" s="13" t="str">
        <f>"71,9257"</f>
        <v>71,9257</v>
      </c>
      <c r="M23" s="12"/>
    </row>
    <row r="25" spans="1:13" ht="15">
      <c r="A25" s="60" t="s">
        <v>45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3">
      <c r="A26" s="9" t="s">
        <v>572</v>
      </c>
      <c r="B26" s="10" t="s">
        <v>573</v>
      </c>
      <c r="C26" s="10" t="s">
        <v>574</v>
      </c>
      <c r="D26" s="10" t="str">
        <f>"0,6874"</f>
        <v>0,6874</v>
      </c>
      <c r="E26" s="9" t="s">
        <v>19</v>
      </c>
      <c r="F26" s="9" t="s">
        <v>575</v>
      </c>
      <c r="G26" s="10" t="s">
        <v>232</v>
      </c>
      <c r="H26" s="10" t="s">
        <v>576</v>
      </c>
      <c r="I26" s="11" t="s">
        <v>233</v>
      </c>
      <c r="J26" s="11"/>
      <c r="K26" s="9" t="str">
        <f>"95,0"</f>
        <v>95,0</v>
      </c>
      <c r="L26" s="10" t="str">
        <f>"65,3030"</f>
        <v>65,3030</v>
      </c>
      <c r="M26" s="9"/>
    </row>
    <row r="27" spans="1:13">
      <c r="A27" s="12" t="s">
        <v>578</v>
      </c>
      <c r="B27" s="13" t="s">
        <v>579</v>
      </c>
      <c r="C27" s="13" t="s">
        <v>580</v>
      </c>
      <c r="D27" s="13" t="str">
        <f>"0,6737"</f>
        <v>0,6737</v>
      </c>
      <c r="E27" s="12" t="s">
        <v>19</v>
      </c>
      <c r="F27" s="12" t="s">
        <v>260</v>
      </c>
      <c r="G27" s="13" t="s">
        <v>581</v>
      </c>
      <c r="H27" s="14" t="s">
        <v>23</v>
      </c>
      <c r="I27" s="13" t="s">
        <v>23</v>
      </c>
      <c r="J27" s="14"/>
      <c r="K27" s="12" t="str">
        <f>"127,5"</f>
        <v>127,5</v>
      </c>
      <c r="L27" s="13" t="str">
        <f>"85,8967"</f>
        <v>85,8967</v>
      </c>
      <c r="M27" s="12"/>
    </row>
    <row r="29" spans="1:13" ht="15">
      <c r="A29" s="60" t="s">
        <v>54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3">
      <c r="A30" s="9" t="s">
        <v>583</v>
      </c>
      <c r="B30" s="10" t="s">
        <v>584</v>
      </c>
      <c r="C30" s="10" t="s">
        <v>585</v>
      </c>
      <c r="D30" s="10" t="str">
        <f>"0,6214"</f>
        <v>0,6214</v>
      </c>
      <c r="E30" s="9" t="s">
        <v>19</v>
      </c>
      <c r="F30" s="9" t="s">
        <v>64</v>
      </c>
      <c r="G30" s="10" t="s">
        <v>586</v>
      </c>
      <c r="H30" s="10" t="s">
        <v>234</v>
      </c>
      <c r="I30" s="11" t="s">
        <v>236</v>
      </c>
      <c r="J30" s="11"/>
      <c r="K30" s="9" t="str">
        <f>"102,5"</f>
        <v>102,5</v>
      </c>
      <c r="L30" s="10" t="str">
        <f>"63,6935"</f>
        <v>63,6935</v>
      </c>
      <c r="M30" s="9"/>
    </row>
    <row r="31" spans="1:13">
      <c r="A31" s="19" t="s">
        <v>588</v>
      </c>
      <c r="B31" s="16" t="s">
        <v>589</v>
      </c>
      <c r="C31" s="16" t="s">
        <v>590</v>
      </c>
      <c r="D31" s="16" t="str">
        <f>"0,6418"</f>
        <v>0,6418</v>
      </c>
      <c r="E31" s="19" t="s">
        <v>19</v>
      </c>
      <c r="F31" s="19" t="s">
        <v>260</v>
      </c>
      <c r="G31" s="20" t="s">
        <v>566</v>
      </c>
      <c r="H31" s="16" t="s">
        <v>566</v>
      </c>
      <c r="I31" s="20" t="s">
        <v>28</v>
      </c>
      <c r="J31" s="20"/>
      <c r="K31" s="19" t="str">
        <f>"137,5"</f>
        <v>137,5</v>
      </c>
      <c r="L31" s="16" t="str">
        <f>"88,2475"</f>
        <v>88,2475</v>
      </c>
      <c r="M31" s="19"/>
    </row>
    <row r="32" spans="1:13">
      <c r="A32" s="12" t="s">
        <v>592</v>
      </c>
      <c r="B32" s="13" t="s">
        <v>593</v>
      </c>
      <c r="C32" s="13" t="s">
        <v>594</v>
      </c>
      <c r="D32" s="13" t="str">
        <f>"0,6412"</f>
        <v>0,6412</v>
      </c>
      <c r="E32" s="12" t="s">
        <v>19</v>
      </c>
      <c r="F32" s="12" t="s">
        <v>595</v>
      </c>
      <c r="G32" s="13" t="s">
        <v>457</v>
      </c>
      <c r="H32" s="13" t="s">
        <v>21</v>
      </c>
      <c r="I32" s="13" t="s">
        <v>177</v>
      </c>
      <c r="J32" s="14"/>
      <c r="K32" s="12" t="str">
        <f>"120,0"</f>
        <v>120,0</v>
      </c>
      <c r="L32" s="13" t="str">
        <f>"98,5653"</f>
        <v>98,5653</v>
      </c>
      <c r="M32" s="12"/>
    </row>
    <row r="34" spans="1:13" ht="15">
      <c r="A34" s="60" t="s">
        <v>81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</row>
    <row r="35" spans="1:13">
      <c r="A35" s="9" t="s">
        <v>597</v>
      </c>
      <c r="B35" s="10" t="s">
        <v>598</v>
      </c>
      <c r="C35" s="10" t="s">
        <v>599</v>
      </c>
      <c r="D35" s="10" t="str">
        <f>"0,5943"</f>
        <v>0,5943</v>
      </c>
      <c r="E35" s="9" t="s">
        <v>19</v>
      </c>
      <c r="F35" s="9" t="s">
        <v>600</v>
      </c>
      <c r="G35" s="10" t="s">
        <v>111</v>
      </c>
      <c r="H35" s="11" t="s">
        <v>125</v>
      </c>
      <c r="I35" s="11" t="s">
        <v>125</v>
      </c>
      <c r="J35" s="11"/>
      <c r="K35" s="9" t="str">
        <f>"190,0"</f>
        <v>190,0</v>
      </c>
      <c r="L35" s="10" t="str">
        <f>"112,9170"</f>
        <v>112,9170</v>
      </c>
      <c r="M35" s="9"/>
    </row>
    <row r="36" spans="1:13">
      <c r="A36" s="19" t="s">
        <v>602</v>
      </c>
      <c r="B36" s="16" t="s">
        <v>603</v>
      </c>
      <c r="C36" s="16" t="s">
        <v>599</v>
      </c>
      <c r="D36" s="16" t="str">
        <f>"0,5943"</f>
        <v>0,5943</v>
      </c>
      <c r="E36" s="19" t="s">
        <v>19</v>
      </c>
      <c r="F36" s="19" t="s">
        <v>64</v>
      </c>
      <c r="G36" s="20" t="s">
        <v>22</v>
      </c>
      <c r="H36" s="16" t="s">
        <v>23</v>
      </c>
      <c r="I36" s="20" t="s">
        <v>27</v>
      </c>
      <c r="J36" s="20"/>
      <c r="K36" s="19" t="str">
        <f>"127,5"</f>
        <v>127,5</v>
      </c>
      <c r="L36" s="16" t="str">
        <f>"75,7732"</f>
        <v>75,7732</v>
      </c>
      <c r="M36" s="19"/>
    </row>
    <row r="37" spans="1:13">
      <c r="A37" s="12" t="s">
        <v>604</v>
      </c>
      <c r="B37" s="13" t="s">
        <v>605</v>
      </c>
      <c r="C37" s="13" t="s">
        <v>254</v>
      </c>
      <c r="D37" s="13" t="str">
        <f>"0,5873"</f>
        <v>0,5873</v>
      </c>
      <c r="E37" s="12" t="s">
        <v>19</v>
      </c>
      <c r="F37" s="12" t="s">
        <v>64</v>
      </c>
      <c r="G37" s="14" t="s">
        <v>566</v>
      </c>
      <c r="H37" s="14" t="s">
        <v>566</v>
      </c>
      <c r="I37" s="14" t="s">
        <v>51</v>
      </c>
      <c r="J37" s="14"/>
      <c r="K37" s="12" t="str">
        <f>"0.00"</f>
        <v>0.00</v>
      </c>
      <c r="L37" s="13" t="str">
        <f>"0,0000"</f>
        <v>0,0000</v>
      </c>
      <c r="M37" s="12"/>
    </row>
    <row r="39" spans="1:13" ht="15">
      <c r="A39" s="60" t="s">
        <v>87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1:13">
      <c r="A40" s="9" t="s">
        <v>607</v>
      </c>
      <c r="B40" s="10" t="s">
        <v>608</v>
      </c>
      <c r="C40" s="10" t="s">
        <v>609</v>
      </c>
      <c r="D40" s="10" t="str">
        <f>"0,5586"</f>
        <v>0,5586</v>
      </c>
      <c r="E40" s="9" t="s">
        <v>19</v>
      </c>
      <c r="F40" s="9" t="s">
        <v>64</v>
      </c>
      <c r="G40" s="10" t="s">
        <v>236</v>
      </c>
      <c r="H40" s="10" t="s">
        <v>581</v>
      </c>
      <c r="I40" s="11" t="s">
        <v>378</v>
      </c>
      <c r="J40" s="11"/>
      <c r="K40" s="9" t="str">
        <f>"117,5"</f>
        <v>117,5</v>
      </c>
      <c r="L40" s="10" t="str">
        <f>"65,6355"</f>
        <v>65,6355</v>
      </c>
      <c r="M40" s="9"/>
    </row>
    <row r="41" spans="1:13">
      <c r="A41" s="19" t="s">
        <v>482</v>
      </c>
      <c r="B41" s="16" t="s">
        <v>483</v>
      </c>
      <c r="C41" s="16" t="s">
        <v>392</v>
      </c>
      <c r="D41" s="16" t="str">
        <f>"0,5543"</f>
        <v>0,5543</v>
      </c>
      <c r="E41" s="19" t="s">
        <v>19</v>
      </c>
      <c r="F41" s="19" t="s">
        <v>64</v>
      </c>
      <c r="G41" s="16" t="s">
        <v>80</v>
      </c>
      <c r="H41" s="16" t="s">
        <v>125</v>
      </c>
      <c r="I41" s="16" t="s">
        <v>35</v>
      </c>
      <c r="J41" s="20"/>
      <c r="K41" s="19" t="str">
        <f>"200,0"</f>
        <v>200,0</v>
      </c>
      <c r="L41" s="16" t="str">
        <f>"110,8600"</f>
        <v>110,8600</v>
      </c>
      <c r="M41" s="19"/>
    </row>
    <row r="42" spans="1:13">
      <c r="A42" s="19" t="s">
        <v>611</v>
      </c>
      <c r="B42" s="16" t="s">
        <v>612</v>
      </c>
      <c r="C42" s="16" t="s">
        <v>613</v>
      </c>
      <c r="D42" s="16" t="str">
        <f>"0,5654"</f>
        <v>0,5654</v>
      </c>
      <c r="E42" s="19" t="s">
        <v>19</v>
      </c>
      <c r="F42" s="19" t="s">
        <v>255</v>
      </c>
      <c r="G42" s="16" t="s">
        <v>53</v>
      </c>
      <c r="H42" s="16" t="s">
        <v>79</v>
      </c>
      <c r="I42" s="16" t="s">
        <v>80</v>
      </c>
      <c r="J42" s="20"/>
      <c r="K42" s="19" t="str">
        <f>"185,0"</f>
        <v>185,0</v>
      </c>
      <c r="L42" s="16" t="str">
        <f>"104,5990"</f>
        <v>104,5990</v>
      </c>
      <c r="M42" s="19"/>
    </row>
    <row r="43" spans="1:13">
      <c r="A43" s="19" t="s">
        <v>615</v>
      </c>
      <c r="B43" s="16" t="s">
        <v>616</v>
      </c>
      <c r="C43" s="16" t="s">
        <v>617</v>
      </c>
      <c r="D43" s="16" t="str">
        <f>"0,5775"</f>
        <v>0,5775</v>
      </c>
      <c r="E43" s="19" t="s">
        <v>19</v>
      </c>
      <c r="F43" s="19" t="s">
        <v>260</v>
      </c>
      <c r="G43" s="20" t="s">
        <v>78</v>
      </c>
      <c r="H43" s="16" t="s">
        <v>78</v>
      </c>
      <c r="I43" s="20" t="s">
        <v>618</v>
      </c>
      <c r="J43" s="20"/>
      <c r="K43" s="19" t="str">
        <f>"170,0"</f>
        <v>170,0</v>
      </c>
      <c r="L43" s="16" t="str">
        <f>"98,1750"</f>
        <v>98,1750</v>
      </c>
      <c r="M43" s="19"/>
    </row>
    <row r="44" spans="1:13">
      <c r="A44" s="19" t="s">
        <v>620</v>
      </c>
      <c r="B44" s="16" t="s">
        <v>621</v>
      </c>
      <c r="C44" s="16" t="s">
        <v>622</v>
      </c>
      <c r="D44" s="16" t="str">
        <f>"0,5599"</f>
        <v>0,5599</v>
      </c>
      <c r="E44" s="19" t="s">
        <v>19</v>
      </c>
      <c r="F44" s="19" t="s">
        <v>64</v>
      </c>
      <c r="G44" s="16" t="s">
        <v>261</v>
      </c>
      <c r="H44" s="16" t="s">
        <v>623</v>
      </c>
      <c r="I44" s="16" t="s">
        <v>78</v>
      </c>
      <c r="J44" s="20"/>
      <c r="K44" s="19" t="str">
        <f>"170,0"</f>
        <v>170,0</v>
      </c>
      <c r="L44" s="16" t="str">
        <f>"95,1830"</f>
        <v>95,1830</v>
      </c>
      <c r="M44" s="19"/>
    </row>
    <row r="45" spans="1:13">
      <c r="A45" s="19" t="s">
        <v>625</v>
      </c>
      <c r="B45" s="16" t="s">
        <v>626</v>
      </c>
      <c r="C45" s="16" t="s">
        <v>627</v>
      </c>
      <c r="D45" s="16" t="str">
        <f>"0,5568"</f>
        <v>0,5568</v>
      </c>
      <c r="E45" s="19" t="s">
        <v>19</v>
      </c>
      <c r="F45" s="19" t="s">
        <v>628</v>
      </c>
      <c r="G45" s="16" t="s">
        <v>261</v>
      </c>
      <c r="H45" s="20" t="s">
        <v>52</v>
      </c>
      <c r="I45" s="20" t="s">
        <v>623</v>
      </c>
      <c r="J45" s="20"/>
      <c r="K45" s="19" t="str">
        <f>"155,0"</f>
        <v>155,0</v>
      </c>
      <c r="L45" s="16" t="str">
        <f>"86,3040"</f>
        <v>86,3040</v>
      </c>
      <c r="M45" s="19"/>
    </row>
    <row r="46" spans="1:13">
      <c r="A46" s="19" t="s">
        <v>630</v>
      </c>
      <c r="B46" s="16" t="s">
        <v>631</v>
      </c>
      <c r="C46" s="16" t="s">
        <v>91</v>
      </c>
      <c r="D46" s="16" t="str">
        <f>"0,5563"</f>
        <v>0,5563</v>
      </c>
      <c r="E46" s="19" t="s">
        <v>19</v>
      </c>
      <c r="F46" s="19" t="s">
        <v>64</v>
      </c>
      <c r="G46" s="16" t="s">
        <v>28</v>
      </c>
      <c r="H46" s="16" t="s">
        <v>261</v>
      </c>
      <c r="I46" s="20" t="s">
        <v>623</v>
      </c>
      <c r="J46" s="20"/>
      <c r="K46" s="19" t="str">
        <f>"155,0"</f>
        <v>155,0</v>
      </c>
      <c r="L46" s="16" t="str">
        <f>"86,2265"</f>
        <v>86,2265</v>
      </c>
      <c r="M46" s="19"/>
    </row>
    <row r="47" spans="1:13">
      <c r="A47" s="19" t="s">
        <v>633</v>
      </c>
      <c r="B47" s="16" t="s">
        <v>634</v>
      </c>
      <c r="C47" s="16" t="s">
        <v>635</v>
      </c>
      <c r="D47" s="16" t="str">
        <f>"0,5570"</f>
        <v>0,5570</v>
      </c>
      <c r="E47" s="19" t="s">
        <v>19</v>
      </c>
      <c r="F47" s="19" t="s">
        <v>636</v>
      </c>
      <c r="G47" s="16" t="s">
        <v>637</v>
      </c>
      <c r="H47" s="16" t="s">
        <v>250</v>
      </c>
      <c r="I47" s="20" t="s">
        <v>623</v>
      </c>
      <c r="J47" s="20"/>
      <c r="K47" s="19" t="str">
        <f>"157,5"</f>
        <v>157,5</v>
      </c>
      <c r="L47" s="16" t="str">
        <f>"88,5170"</f>
        <v>88,5170</v>
      </c>
      <c r="M47" s="19"/>
    </row>
    <row r="48" spans="1:13">
      <c r="A48" s="19" t="s">
        <v>638</v>
      </c>
      <c r="B48" s="16" t="s">
        <v>639</v>
      </c>
      <c r="C48" s="16" t="s">
        <v>613</v>
      </c>
      <c r="D48" s="16" t="str">
        <f>"0,5654"</f>
        <v>0,5654</v>
      </c>
      <c r="E48" s="19" t="s">
        <v>19</v>
      </c>
      <c r="F48" s="19" t="s">
        <v>255</v>
      </c>
      <c r="G48" s="16" t="s">
        <v>53</v>
      </c>
      <c r="H48" s="16" t="s">
        <v>79</v>
      </c>
      <c r="I48" s="16" t="s">
        <v>80</v>
      </c>
      <c r="J48" s="20"/>
      <c r="K48" s="19" t="str">
        <f>"185,0"</f>
        <v>185,0</v>
      </c>
      <c r="L48" s="16" t="str">
        <f>"114,2221"</f>
        <v>114,2221</v>
      </c>
      <c r="M48" s="19"/>
    </row>
    <row r="49" spans="1:13">
      <c r="A49" s="19" t="s">
        <v>641</v>
      </c>
      <c r="B49" s="16" t="s">
        <v>642</v>
      </c>
      <c r="C49" s="16" t="s">
        <v>643</v>
      </c>
      <c r="D49" s="16" t="str">
        <f>"0,5627"</f>
        <v>0,5627</v>
      </c>
      <c r="E49" s="19" t="s">
        <v>19</v>
      </c>
      <c r="F49" s="19" t="s">
        <v>644</v>
      </c>
      <c r="G49" s="16" t="s">
        <v>78</v>
      </c>
      <c r="H49" s="20" t="s">
        <v>301</v>
      </c>
      <c r="I49" s="20" t="s">
        <v>301</v>
      </c>
      <c r="J49" s="20"/>
      <c r="K49" s="19" t="str">
        <f>"170,0"</f>
        <v>170,0</v>
      </c>
      <c r="L49" s="16" t="str">
        <f>"132,0094"</f>
        <v>132,0094</v>
      </c>
      <c r="M49" s="19"/>
    </row>
    <row r="50" spans="1:13">
      <c r="A50" s="12" t="s">
        <v>646</v>
      </c>
      <c r="B50" s="13" t="s">
        <v>647</v>
      </c>
      <c r="C50" s="13" t="s">
        <v>648</v>
      </c>
      <c r="D50" s="13" t="str">
        <f>"0,5808"</f>
        <v>0,5808</v>
      </c>
      <c r="E50" s="12" t="s">
        <v>19</v>
      </c>
      <c r="F50" s="12" t="s">
        <v>64</v>
      </c>
      <c r="G50" s="13" t="s">
        <v>177</v>
      </c>
      <c r="H50" s="14" t="s">
        <v>22</v>
      </c>
      <c r="I50" s="14" t="s">
        <v>22</v>
      </c>
      <c r="J50" s="14"/>
      <c r="K50" s="12" t="str">
        <f>"120,0"</f>
        <v>120,0</v>
      </c>
      <c r="L50" s="13" t="str">
        <f>"122,3165"</f>
        <v>122,3165</v>
      </c>
      <c r="M50" s="12"/>
    </row>
    <row r="52" spans="1:13" ht="15">
      <c r="A52" s="60" t="s">
        <v>94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</row>
    <row r="53" spans="1:13">
      <c r="A53" s="9" t="s">
        <v>650</v>
      </c>
      <c r="B53" s="10" t="s">
        <v>651</v>
      </c>
      <c r="C53" s="10" t="s">
        <v>652</v>
      </c>
      <c r="D53" s="10" t="str">
        <f>"0,5366"</f>
        <v>0,5366</v>
      </c>
      <c r="E53" s="9" t="s">
        <v>19</v>
      </c>
      <c r="F53" s="9" t="s">
        <v>242</v>
      </c>
      <c r="G53" s="10" t="s">
        <v>80</v>
      </c>
      <c r="H53" s="10" t="s">
        <v>125</v>
      </c>
      <c r="I53" s="10" t="s">
        <v>467</v>
      </c>
      <c r="J53" s="11"/>
      <c r="K53" s="9" t="str">
        <f>"202,5"</f>
        <v>202,5</v>
      </c>
      <c r="L53" s="10" t="str">
        <f>"108,6615"</f>
        <v>108,6615</v>
      </c>
      <c r="M53" s="9"/>
    </row>
    <row r="54" spans="1:13">
      <c r="A54" s="19" t="s">
        <v>654</v>
      </c>
      <c r="B54" s="16" t="s">
        <v>655</v>
      </c>
      <c r="C54" s="16" t="s">
        <v>656</v>
      </c>
      <c r="D54" s="16" t="str">
        <f>"0,5414"</f>
        <v>0,5414</v>
      </c>
      <c r="E54" s="19" t="s">
        <v>19</v>
      </c>
      <c r="F54" s="19" t="s">
        <v>247</v>
      </c>
      <c r="G54" s="16" t="s">
        <v>261</v>
      </c>
      <c r="H54" s="16" t="s">
        <v>53</v>
      </c>
      <c r="I54" s="20" t="s">
        <v>657</v>
      </c>
      <c r="J54" s="20"/>
      <c r="K54" s="19" t="str">
        <f>"165,0"</f>
        <v>165,0</v>
      </c>
      <c r="L54" s="16" t="str">
        <f>"89,3310"</f>
        <v>89,3310</v>
      </c>
      <c r="M54" s="19"/>
    </row>
    <row r="55" spans="1:13">
      <c r="A55" s="19" t="s">
        <v>658</v>
      </c>
      <c r="B55" s="16" t="s">
        <v>495</v>
      </c>
      <c r="C55" s="16" t="s">
        <v>496</v>
      </c>
      <c r="D55" s="16" t="str">
        <f>"0,5372"</f>
        <v>0,5372</v>
      </c>
      <c r="E55" s="19" t="s">
        <v>19</v>
      </c>
      <c r="F55" s="19" t="s">
        <v>497</v>
      </c>
      <c r="G55" s="16" t="s">
        <v>250</v>
      </c>
      <c r="H55" s="20" t="s">
        <v>623</v>
      </c>
      <c r="I55" s="16" t="s">
        <v>623</v>
      </c>
      <c r="J55" s="20"/>
      <c r="K55" s="19" t="str">
        <f>"162,5"</f>
        <v>162,5</v>
      </c>
      <c r="L55" s="16" t="str">
        <f>"87,2950"</f>
        <v>87,2950</v>
      </c>
      <c r="M55" s="19"/>
    </row>
    <row r="56" spans="1:13">
      <c r="A56" s="19" t="s">
        <v>660</v>
      </c>
      <c r="B56" s="16" t="s">
        <v>661</v>
      </c>
      <c r="C56" s="16" t="s">
        <v>662</v>
      </c>
      <c r="D56" s="16" t="str">
        <f>"0,5410"</f>
        <v>0,5410</v>
      </c>
      <c r="E56" s="19" t="s">
        <v>19</v>
      </c>
      <c r="F56" s="19" t="s">
        <v>64</v>
      </c>
      <c r="G56" s="20" t="s">
        <v>29</v>
      </c>
      <c r="H56" s="16" t="s">
        <v>261</v>
      </c>
      <c r="I56" s="20" t="s">
        <v>52</v>
      </c>
      <c r="J56" s="20"/>
      <c r="K56" s="19" t="str">
        <f>"155,0"</f>
        <v>155,0</v>
      </c>
      <c r="L56" s="16" t="str">
        <f>"83,8550"</f>
        <v>83,8550</v>
      </c>
      <c r="M56" s="19"/>
    </row>
    <row r="57" spans="1:13">
      <c r="A57" s="19" t="s">
        <v>663</v>
      </c>
      <c r="B57" s="16" t="s">
        <v>500</v>
      </c>
      <c r="C57" s="16" t="s">
        <v>501</v>
      </c>
      <c r="D57" s="16" t="str">
        <f>"0,5422"</f>
        <v>0,5422</v>
      </c>
      <c r="E57" s="19" t="s">
        <v>19</v>
      </c>
      <c r="F57" s="19" t="s">
        <v>64</v>
      </c>
      <c r="G57" s="20" t="s">
        <v>27</v>
      </c>
      <c r="H57" s="16" t="s">
        <v>566</v>
      </c>
      <c r="I57" s="20" t="s">
        <v>29</v>
      </c>
      <c r="J57" s="20"/>
      <c r="K57" s="19" t="str">
        <f>"137,5"</f>
        <v>137,5</v>
      </c>
      <c r="L57" s="16" t="str">
        <f>"74,5525"</f>
        <v>74,5525</v>
      </c>
      <c r="M57" s="19"/>
    </row>
    <row r="58" spans="1:13">
      <c r="A58" s="19" t="s">
        <v>494</v>
      </c>
      <c r="B58" s="35" t="s">
        <v>502</v>
      </c>
      <c r="C58" s="16" t="s">
        <v>496</v>
      </c>
      <c r="D58" s="16" t="str">
        <f>"0,5372"</f>
        <v>0,5372</v>
      </c>
      <c r="E58" s="19" t="s">
        <v>19</v>
      </c>
      <c r="F58" s="19" t="s">
        <v>497</v>
      </c>
      <c r="G58" s="16" t="s">
        <v>250</v>
      </c>
      <c r="H58" s="20" t="s">
        <v>623</v>
      </c>
      <c r="I58" s="16" t="s">
        <v>623</v>
      </c>
      <c r="J58" s="20"/>
      <c r="K58" s="19" t="str">
        <f>"162,5"</f>
        <v>162,5</v>
      </c>
      <c r="L58" s="16" t="str">
        <f>"87,2950"</f>
        <v>87,2950</v>
      </c>
      <c r="M58" s="19"/>
    </row>
    <row r="59" spans="1:13">
      <c r="A59" s="12" t="s">
        <v>665</v>
      </c>
      <c r="B59" s="13" t="s">
        <v>666</v>
      </c>
      <c r="C59" s="13" t="s">
        <v>667</v>
      </c>
      <c r="D59" s="13" t="str">
        <f>"0,5380"</f>
        <v>0,5380</v>
      </c>
      <c r="E59" s="12" t="s">
        <v>19</v>
      </c>
      <c r="F59" s="12" t="s">
        <v>64</v>
      </c>
      <c r="G59" s="13" t="s">
        <v>249</v>
      </c>
      <c r="H59" s="13" t="s">
        <v>261</v>
      </c>
      <c r="I59" s="14" t="s">
        <v>52</v>
      </c>
      <c r="J59" s="14"/>
      <c r="K59" s="12" t="str">
        <f>"155,0"</f>
        <v>155,0</v>
      </c>
      <c r="L59" s="13" t="str">
        <f>"84,1405"</f>
        <v>84,1405</v>
      </c>
      <c r="M59" s="12"/>
    </row>
    <row r="61" spans="1:13" ht="15">
      <c r="A61" s="60" t="s">
        <v>112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</row>
    <row r="62" spans="1:13">
      <c r="A62" s="9" t="s">
        <v>669</v>
      </c>
      <c r="B62" s="10" t="s">
        <v>670</v>
      </c>
      <c r="C62" s="10" t="s">
        <v>671</v>
      </c>
      <c r="D62" s="10" t="str">
        <f>"0,5342"</f>
        <v>0,5342</v>
      </c>
      <c r="E62" s="9" t="s">
        <v>19</v>
      </c>
      <c r="F62" s="9" t="s">
        <v>247</v>
      </c>
      <c r="G62" s="10" t="s">
        <v>111</v>
      </c>
      <c r="H62" s="10" t="s">
        <v>35</v>
      </c>
      <c r="I62" s="10" t="s">
        <v>467</v>
      </c>
      <c r="J62" s="11"/>
      <c r="K62" s="9" t="str">
        <f>"202,5"</f>
        <v>202,5</v>
      </c>
      <c r="L62" s="10" t="str">
        <f>"108,1755"</f>
        <v>108,1755</v>
      </c>
      <c r="M62" s="9"/>
    </row>
    <row r="63" spans="1:13">
      <c r="A63" s="19" t="s">
        <v>673</v>
      </c>
      <c r="B63" s="16" t="s">
        <v>674</v>
      </c>
      <c r="C63" s="16" t="s">
        <v>675</v>
      </c>
      <c r="D63" s="16" t="str">
        <f>"0,5227"</f>
        <v>0,5227</v>
      </c>
      <c r="E63" s="19" t="s">
        <v>19</v>
      </c>
      <c r="F63" s="19" t="s">
        <v>676</v>
      </c>
      <c r="G63" s="16" t="s">
        <v>301</v>
      </c>
      <c r="H63" s="16" t="s">
        <v>79</v>
      </c>
      <c r="I63" s="16" t="s">
        <v>677</v>
      </c>
      <c r="J63" s="20"/>
      <c r="K63" s="19" t="str">
        <f>"187,5"</f>
        <v>187,5</v>
      </c>
      <c r="L63" s="16" t="str">
        <f>"107,0228"</f>
        <v>107,0228</v>
      </c>
      <c r="M63" s="19"/>
    </row>
    <row r="64" spans="1:13">
      <c r="A64" s="19" t="s">
        <v>679</v>
      </c>
      <c r="B64" s="16" t="s">
        <v>680</v>
      </c>
      <c r="C64" s="16" t="s">
        <v>681</v>
      </c>
      <c r="D64" s="16" t="str">
        <f>"0,5292"</f>
        <v>0,5292</v>
      </c>
      <c r="E64" s="19" t="s">
        <v>682</v>
      </c>
      <c r="F64" s="19" t="s">
        <v>64</v>
      </c>
      <c r="G64" s="16" t="s">
        <v>78</v>
      </c>
      <c r="H64" s="16" t="s">
        <v>301</v>
      </c>
      <c r="I64" s="20" t="s">
        <v>618</v>
      </c>
      <c r="J64" s="20"/>
      <c r="K64" s="19" t="str">
        <f>"175,0"</f>
        <v>175,0</v>
      </c>
      <c r="L64" s="16" t="str">
        <f>"105,9458"</f>
        <v>105,9458</v>
      </c>
      <c r="M64" s="19"/>
    </row>
    <row r="65" spans="1:13">
      <c r="A65" s="19" t="s">
        <v>683</v>
      </c>
      <c r="B65" s="16" t="s">
        <v>684</v>
      </c>
      <c r="C65" s="16" t="s">
        <v>685</v>
      </c>
      <c r="D65" s="16" t="str">
        <f>"0,5248"</f>
        <v>0,5248</v>
      </c>
      <c r="E65" s="19" t="s">
        <v>19</v>
      </c>
      <c r="F65" s="19" t="s">
        <v>64</v>
      </c>
      <c r="G65" s="20" t="s">
        <v>467</v>
      </c>
      <c r="H65" s="20" t="s">
        <v>467</v>
      </c>
      <c r="I65" s="20" t="s">
        <v>467</v>
      </c>
      <c r="J65" s="20"/>
      <c r="K65" s="19" t="str">
        <f>"0.00"</f>
        <v>0.00</v>
      </c>
      <c r="L65" s="16" t="str">
        <f>"0,0000"</f>
        <v>0,0000</v>
      </c>
      <c r="M65" s="19"/>
    </row>
    <row r="66" spans="1:13">
      <c r="A66" s="19" t="s">
        <v>687</v>
      </c>
      <c r="B66" s="16" t="s">
        <v>688</v>
      </c>
      <c r="C66" s="16" t="s">
        <v>689</v>
      </c>
      <c r="D66" s="16" t="str">
        <f>"0,5291"</f>
        <v>0,5291</v>
      </c>
      <c r="E66" s="19" t="s">
        <v>690</v>
      </c>
      <c r="F66" s="19" t="s">
        <v>64</v>
      </c>
      <c r="G66" s="16" t="s">
        <v>78</v>
      </c>
      <c r="H66" s="16" t="s">
        <v>79</v>
      </c>
      <c r="I66" s="16" t="s">
        <v>80</v>
      </c>
      <c r="J66" s="20"/>
      <c r="K66" s="19" t="str">
        <f>"185,0"</f>
        <v>185,0</v>
      </c>
      <c r="L66" s="16" t="str">
        <f>"121,2777"</f>
        <v>121,2777</v>
      </c>
      <c r="M66" s="19"/>
    </row>
    <row r="67" spans="1:13">
      <c r="A67" s="12" t="s">
        <v>692</v>
      </c>
      <c r="B67" s="13" t="s">
        <v>693</v>
      </c>
      <c r="C67" s="13" t="s">
        <v>694</v>
      </c>
      <c r="D67" s="13" t="str">
        <f>"0,5219"</f>
        <v>0,5219</v>
      </c>
      <c r="E67" s="12" t="s">
        <v>690</v>
      </c>
      <c r="F67" s="12" t="s">
        <v>64</v>
      </c>
      <c r="G67" s="13" t="s">
        <v>53</v>
      </c>
      <c r="H67" s="13" t="s">
        <v>78</v>
      </c>
      <c r="I67" s="13" t="s">
        <v>301</v>
      </c>
      <c r="J67" s="14" t="s">
        <v>618</v>
      </c>
      <c r="K67" s="12" t="str">
        <f>"175,0"</f>
        <v>175,0</v>
      </c>
      <c r="L67" s="13" t="str">
        <f>"126,0388"</f>
        <v>126,0388</v>
      </c>
      <c r="M67" s="12"/>
    </row>
    <row r="69" spans="1:13" ht="15">
      <c r="E69" s="21" t="s">
        <v>128</v>
      </c>
    </row>
    <row r="70" spans="1:13" ht="15">
      <c r="E70" s="21" t="s">
        <v>129</v>
      </c>
    </row>
    <row r="71" spans="1:13" ht="15">
      <c r="E71" s="21" t="s">
        <v>130</v>
      </c>
    </row>
    <row r="72" spans="1:13">
      <c r="E72" s="4" t="s">
        <v>131</v>
      </c>
    </row>
    <row r="73" spans="1:13">
      <c r="E73" s="4" t="s">
        <v>132</v>
      </c>
    </row>
    <row r="74" spans="1:13">
      <c r="E74" s="4" t="s">
        <v>133</v>
      </c>
    </row>
    <row r="77" spans="1:13" ht="18">
      <c r="A77" s="22" t="s">
        <v>134</v>
      </c>
      <c r="B77" s="23"/>
    </row>
    <row r="78" spans="1:13" ht="15">
      <c r="A78" s="24" t="s">
        <v>135</v>
      </c>
      <c r="B78" s="25"/>
    </row>
    <row r="79" spans="1:13" ht="14.25">
      <c r="A79" s="27"/>
      <c r="B79" s="28" t="s">
        <v>149</v>
      </c>
    </row>
    <row r="80" spans="1:13" ht="15">
      <c r="A80" s="29" t="s">
        <v>0</v>
      </c>
      <c r="B80" s="29" t="s">
        <v>137</v>
      </c>
      <c r="C80" s="29" t="s">
        <v>138</v>
      </c>
      <c r="D80" s="29" t="s">
        <v>139</v>
      </c>
      <c r="E80" s="29" t="s">
        <v>12</v>
      </c>
    </row>
    <row r="81" spans="1:5">
      <c r="A81" s="26" t="s">
        <v>558</v>
      </c>
      <c r="B81" s="5" t="s">
        <v>150</v>
      </c>
      <c r="C81" s="5" t="s">
        <v>147</v>
      </c>
      <c r="D81" s="5" t="s">
        <v>544</v>
      </c>
      <c r="E81" s="30" t="s">
        <v>695</v>
      </c>
    </row>
    <row r="83" spans="1:5" ht="14.25">
      <c r="A83" s="27"/>
      <c r="B83" s="28" t="s">
        <v>143</v>
      </c>
    </row>
    <row r="84" spans="1:5" ht="15">
      <c r="A84" s="29" t="s">
        <v>0</v>
      </c>
      <c r="B84" s="29" t="s">
        <v>137</v>
      </c>
      <c r="C84" s="29" t="s">
        <v>138</v>
      </c>
      <c r="D84" s="29" t="s">
        <v>139</v>
      </c>
      <c r="E84" s="29" t="s">
        <v>12</v>
      </c>
    </row>
    <row r="85" spans="1:5">
      <c r="A85" s="26" t="s">
        <v>533</v>
      </c>
      <c r="B85" s="5" t="s">
        <v>143</v>
      </c>
      <c r="C85" s="5" t="s">
        <v>317</v>
      </c>
      <c r="D85" s="5" t="s">
        <v>538</v>
      </c>
      <c r="E85" s="30" t="s">
        <v>696</v>
      </c>
    </row>
    <row r="86" spans="1:5">
      <c r="A86" s="26" t="s">
        <v>550</v>
      </c>
      <c r="B86" s="5" t="s">
        <v>143</v>
      </c>
      <c r="C86" s="5" t="s">
        <v>151</v>
      </c>
      <c r="D86" s="5" t="s">
        <v>538</v>
      </c>
      <c r="E86" s="30" t="s">
        <v>697</v>
      </c>
    </row>
    <row r="87" spans="1:5">
      <c r="A87" s="26" t="s">
        <v>540</v>
      </c>
      <c r="B87" s="5" t="s">
        <v>143</v>
      </c>
      <c r="C87" s="5" t="s">
        <v>317</v>
      </c>
      <c r="D87" s="5" t="s">
        <v>215</v>
      </c>
      <c r="E87" s="30" t="s">
        <v>698</v>
      </c>
    </row>
    <row r="88" spans="1:5">
      <c r="A88" s="26" t="s">
        <v>545</v>
      </c>
      <c r="B88" s="5" t="s">
        <v>143</v>
      </c>
      <c r="C88" s="5" t="s">
        <v>141</v>
      </c>
      <c r="D88" s="5" t="s">
        <v>216</v>
      </c>
      <c r="E88" s="30" t="s">
        <v>699</v>
      </c>
    </row>
    <row r="90" spans="1:5" ht="14.25">
      <c r="A90" s="27"/>
      <c r="B90" s="28" t="s">
        <v>164</v>
      </c>
    </row>
    <row r="91" spans="1:5" ht="15">
      <c r="A91" s="29" t="s">
        <v>0</v>
      </c>
      <c r="B91" s="29" t="s">
        <v>137</v>
      </c>
      <c r="C91" s="29" t="s">
        <v>138</v>
      </c>
      <c r="D91" s="29" t="s">
        <v>139</v>
      </c>
      <c r="E91" s="29" t="s">
        <v>12</v>
      </c>
    </row>
    <row r="92" spans="1:5">
      <c r="A92" s="26" t="s">
        <v>554</v>
      </c>
      <c r="B92" s="5" t="s">
        <v>339</v>
      </c>
      <c r="C92" s="5" t="s">
        <v>173</v>
      </c>
      <c r="D92" s="5" t="s">
        <v>214</v>
      </c>
      <c r="E92" s="30" t="s">
        <v>700</v>
      </c>
    </row>
    <row r="95" spans="1:5" ht="15">
      <c r="A95" s="24" t="s">
        <v>145</v>
      </c>
      <c r="B95" s="25"/>
    </row>
    <row r="96" spans="1:5" ht="14.25">
      <c r="A96" s="27"/>
      <c r="B96" s="28" t="s">
        <v>136</v>
      </c>
    </row>
    <row r="97" spans="1:5" ht="15">
      <c r="A97" s="29" t="s">
        <v>0</v>
      </c>
      <c r="B97" s="29" t="s">
        <v>137</v>
      </c>
      <c r="C97" s="29" t="s">
        <v>138</v>
      </c>
      <c r="D97" s="29" t="s">
        <v>139</v>
      </c>
      <c r="E97" s="29" t="s">
        <v>12</v>
      </c>
    </row>
    <row r="98" spans="1:5">
      <c r="A98" s="26" t="s">
        <v>577</v>
      </c>
      <c r="B98" s="5" t="s">
        <v>701</v>
      </c>
      <c r="C98" s="5" t="s">
        <v>173</v>
      </c>
      <c r="D98" s="5" t="s">
        <v>23</v>
      </c>
      <c r="E98" s="30" t="s">
        <v>702</v>
      </c>
    </row>
    <row r="99" spans="1:5">
      <c r="A99" s="26" t="s">
        <v>606</v>
      </c>
      <c r="B99" s="5" t="s">
        <v>146</v>
      </c>
      <c r="C99" s="5" t="s">
        <v>161</v>
      </c>
      <c r="D99" s="5" t="s">
        <v>581</v>
      </c>
      <c r="E99" s="30" t="s">
        <v>703</v>
      </c>
    </row>
    <row r="100" spans="1:5">
      <c r="A100" s="26" t="s">
        <v>571</v>
      </c>
      <c r="B100" s="5" t="s">
        <v>140</v>
      </c>
      <c r="C100" s="5" t="s">
        <v>173</v>
      </c>
      <c r="D100" s="5" t="s">
        <v>576</v>
      </c>
      <c r="E100" s="30" t="s">
        <v>704</v>
      </c>
    </row>
    <row r="101" spans="1:5">
      <c r="A101" s="26" t="s">
        <v>582</v>
      </c>
      <c r="B101" s="5" t="s">
        <v>146</v>
      </c>
      <c r="C101" s="5" t="s">
        <v>147</v>
      </c>
      <c r="D101" s="5" t="s">
        <v>234</v>
      </c>
      <c r="E101" s="30" t="s">
        <v>705</v>
      </c>
    </row>
    <row r="103" spans="1:5" ht="14.25">
      <c r="A103" s="27"/>
      <c r="B103" s="28" t="s">
        <v>143</v>
      </c>
    </row>
    <row r="104" spans="1:5" ht="15">
      <c r="A104" s="29" t="s">
        <v>0</v>
      </c>
      <c r="B104" s="29" t="s">
        <v>137</v>
      </c>
      <c r="C104" s="29" t="s">
        <v>138</v>
      </c>
      <c r="D104" s="29" t="s">
        <v>139</v>
      </c>
      <c r="E104" s="29" t="s">
        <v>12</v>
      </c>
    </row>
    <row r="105" spans="1:5">
      <c r="A105" s="26" t="s">
        <v>596</v>
      </c>
      <c r="B105" s="5" t="s">
        <v>143</v>
      </c>
      <c r="C105" s="5" t="s">
        <v>166</v>
      </c>
      <c r="D105" s="5" t="s">
        <v>111</v>
      </c>
      <c r="E105" s="30" t="s">
        <v>706</v>
      </c>
    </row>
    <row r="106" spans="1:5">
      <c r="A106" s="26" t="s">
        <v>481</v>
      </c>
      <c r="B106" s="5" t="s">
        <v>143</v>
      </c>
      <c r="C106" s="5" t="s">
        <v>161</v>
      </c>
      <c r="D106" s="5" t="s">
        <v>35</v>
      </c>
      <c r="E106" s="30" t="s">
        <v>707</v>
      </c>
    </row>
    <row r="107" spans="1:5">
      <c r="A107" s="26" t="s">
        <v>649</v>
      </c>
      <c r="B107" s="5" t="s">
        <v>143</v>
      </c>
      <c r="C107" s="5" t="s">
        <v>155</v>
      </c>
      <c r="D107" s="5" t="s">
        <v>467</v>
      </c>
      <c r="E107" s="30" t="s">
        <v>708</v>
      </c>
    </row>
    <row r="108" spans="1:5">
      <c r="A108" s="26" t="s">
        <v>668</v>
      </c>
      <c r="B108" s="5" t="s">
        <v>143</v>
      </c>
      <c r="C108" s="5" t="s">
        <v>153</v>
      </c>
      <c r="D108" s="5" t="s">
        <v>467</v>
      </c>
      <c r="E108" s="30" t="s">
        <v>709</v>
      </c>
    </row>
    <row r="109" spans="1:5">
      <c r="A109" s="26" t="s">
        <v>610</v>
      </c>
      <c r="B109" s="5" t="s">
        <v>143</v>
      </c>
      <c r="C109" s="5" t="s">
        <v>161</v>
      </c>
      <c r="D109" s="5" t="s">
        <v>80</v>
      </c>
      <c r="E109" s="30" t="s">
        <v>710</v>
      </c>
    </row>
    <row r="110" spans="1:5">
      <c r="A110" s="26" t="s">
        <v>562</v>
      </c>
      <c r="B110" s="5" t="s">
        <v>143</v>
      </c>
      <c r="C110" s="5" t="s">
        <v>151</v>
      </c>
      <c r="D110" s="5" t="s">
        <v>566</v>
      </c>
      <c r="E110" s="30" t="s">
        <v>711</v>
      </c>
    </row>
    <row r="111" spans="1:5">
      <c r="A111" s="26" t="s">
        <v>614</v>
      </c>
      <c r="B111" s="5" t="s">
        <v>143</v>
      </c>
      <c r="C111" s="5" t="s">
        <v>161</v>
      </c>
      <c r="D111" s="5" t="s">
        <v>78</v>
      </c>
      <c r="E111" s="30" t="s">
        <v>712</v>
      </c>
    </row>
    <row r="112" spans="1:5">
      <c r="A112" s="26" t="s">
        <v>619</v>
      </c>
      <c r="B112" s="5" t="s">
        <v>143</v>
      </c>
      <c r="C112" s="5" t="s">
        <v>161</v>
      </c>
      <c r="D112" s="5" t="s">
        <v>78</v>
      </c>
      <c r="E112" s="30" t="s">
        <v>713</v>
      </c>
    </row>
    <row r="113" spans="1:5">
      <c r="A113" s="26" t="s">
        <v>653</v>
      </c>
      <c r="B113" s="5" t="s">
        <v>143</v>
      </c>
      <c r="C113" s="5" t="s">
        <v>155</v>
      </c>
      <c r="D113" s="5" t="s">
        <v>53</v>
      </c>
      <c r="E113" s="30" t="s">
        <v>714</v>
      </c>
    </row>
    <row r="114" spans="1:5">
      <c r="A114" s="26" t="s">
        <v>587</v>
      </c>
      <c r="B114" s="5" t="s">
        <v>143</v>
      </c>
      <c r="C114" s="5" t="s">
        <v>147</v>
      </c>
      <c r="D114" s="5" t="s">
        <v>566</v>
      </c>
      <c r="E114" s="30" t="s">
        <v>715</v>
      </c>
    </row>
    <row r="115" spans="1:5">
      <c r="A115" s="26" t="s">
        <v>493</v>
      </c>
      <c r="B115" s="5" t="s">
        <v>143</v>
      </c>
      <c r="C115" s="5" t="s">
        <v>155</v>
      </c>
      <c r="D115" s="5" t="s">
        <v>623</v>
      </c>
      <c r="E115" s="30" t="s">
        <v>716</v>
      </c>
    </row>
    <row r="116" spans="1:5">
      <c r="A116" s="26" t="s">
        <v>624</v>
      </c>
      <c r="B116" s="5" t="s">
        <v>143</v>
      </c>
      <c r="C116" s="5" t="s">
        <v>161</v>
      </c>
      <c r="D116" s="5" t="s">
        <v>261</v>
      </c>
      <c r="E116" s="30" t="s">
        <v>717</v>
      </c>
    </row>
    <row r="117" spans="1:5">
      <c r="A117" s="26" t="s">
        <v>629</v>
      </c>
      <c r="B117" s="5" t="s">
        <v>143</v>
      </c>
      <c r="C117" s="5" t="s">
        <v>161</v>
      </c>
      <c r="D117" s="5" t="s">
        <v>261</v>
      </c>
      <c r="E117" s="30" t="s">
        <v>718</v>
      </c>
    </row>
    <row r="118" spans="1:5">
      <c r="A118" s="26" t="s">
        <v>659</v>
      </c>
      <c r="B118" s="5" t="s">
        <v>143</v>
      </c>
      <c r="C118" s="5" t="s">
        <v>155</v>
      </c>
      <c r="D118" s="5" t="s">
        <v>261</v>
      </c>
      <c r="E118" s="30" t="s">
        <v>719</v>
      </c>
    </row>
    <row r="119" spans="1:5">
      <c r="A119" s="26" t="s">
        <v>601</v>
      </c>
      <c r="B119" s="5" t="s">
        <v>143</v>
      </c>
      <c r="C119" s="5" t="s">
        <v>166</v>
      </c>
      <c r="D119" s="5" t="s">
        <v>23</v>
      </c>
      <c r="E119" s="30" t="s">
        <v>720</v>
      </c>
    </row>
    <row r="120" spans="1:5">
      <c r="A120" s="26" t="s">
        <v>498</v>
      </c>
      <c r="B120" s="5" t="s">
        <v>143</v>
      </c>
      <c r="C120" s="5" t="s">
        <v>155</v>
      </c>
      <c r="D120" s="5" t="s">
        <v>566</v>
      </c>
      <c r="E120" s="30" t="s">
        <v>721</v>
      </c>
    </row>
    <row r="121" spans="1:5">
      <c r="A121" s="26" t="s">
        <v>567</v>
      </c>
      <c r="B121" s="5" t="s">
        <v>143</v>
      </c>
      <c r="C121" s="5" t="s">
        <v>151</v>
      </c>
      <c r="D121" s="5" t="s">
        <v>446</v>
      </c>
      <c r="E121" s="30" t="s">
        <v>722</v>
      </c>
    </row>
    <row r="123" spans="1:5" ht="14.25">
      <c r="A123" s="27"/>
      <c r="B123" s="28" t="s">
        <v>328</v>
      </c>
    </row>
    <row r="124" spans="1:5" ht="15">
      <c r="A124" s="29" t="s">
        <v>0</v>
      </c>
      <c r="B124" s="29" t="s">
        <v>137</v>
      </c>
      <c r="C124" s="29" t="s">
        <v>138</v>
      </c>
      <c r="D124" s="29" t="s">
        <v>139</v>
      </c>
      <c r="E124" s="29" t="s">
        <v>12</v>
      </c>
    </row>
    <row r="125" spans="1:5">
      <c r="A125" s="26" t="s">
        <v>493</v>
      </c>
      <c r="B125" s="5" t="s">
        <v>329</v>
      </c>
      <c r="C125" s="5" t="s">
        <v>155</v>
      </c>
      <c r="D125" s="5" t="s">
        <v>623</v>
      </c>
      <c r="E125" s="30" t="s">
        <v>716</v>
      </c>
    </row>
    <row r="127" spans="1:5" ht="14.25">
      <c r="A127" s="27"/>
      <c r="B127" s="28" t="s">
        <v>164</v>
      </c>
    </row>
    <row r="128" spans="1:5" ht="15">
      <c r="A128" s="29" t="s">
        <v>0</v>
      </c>
      <c r="B128" s="29" t="s">
        <v>137</v>
      </c>
      <c r="C128" s="29" t="s">
        <v>138</v>
      </c>
      <c r="D128" s="29" t="s">
        <v>139</v>
      </c>
      <c r="E128" s="29" t="s">
        <v>12</v>
      </c>
    </row>
    <row r="129" spans="1:5">
      <c r="A129" s="26" t="s">
        <v>640</v>
      </c>
      <c r="B129" s="5" t="s">
        <v>170</v>
      </c>
      <c r="C129" s="5" t="s">
        <v>161</v>
      </c>
      <c r="D129" s="5" t="s">
        <v>78</v>
      </c>
      <c r="E129" s="30" t="s">
        <v>723</v>
      </c>
    </row>
    <row r="130" spans="1:5">
      <c r="A130" s="26" t="s">
        <v>691</v>
      </c>
      <c r="B130" s="5" t="s">
        <v>170</v>
      </c>
      <c r="C130" s="5" t="s">
        <v>153</v>
      </c>
      <c r="D130" s="5" t="s">
        <v>301</v>
      </c>
      <c r="E130" s="30" t="s">
        <v>724</v>
      </c>
    </row>
    <row r="131" spans="1:5">
      <c r="A131" s="26" t="s">
        <v>645</v>
      </c>
      <c r="B131" s="5" t="s">
        <v>168</v>
      </c>
      <c r="C131" s="5" t="s">
        <v>161</v>
      </c>
      <c r="D131" s="5" t="s">
        <v>177</v>
      </c>
      <c r="E131" s="30" t="s">
        <v>725</v>
      </c>
    </row>
    <row r="132" spans="1:5">
      <c r="A132" s="26" t="s">
        <v>686</v>
      </c>
      <c r="B132" s="5" t="s">
        <v>336</v>
      </c>
      <c r="C132" s="5" t="s">
        <v>153</v>
      </c>
      <c r="D132" s="5" t="s">
        <v>80</v>
      </c>
      <c r="E132" s="30" t="s">
        <v>726</v>
      </c>
    </row>
    <row r="133" spans="1:5">
      <c r="A133" s="26" t="s">
        <v>610</v>
      </c>
      <c r="B133" s="5" t="s">
        <v>339</v>
      </c>
      <c r="C133" s="5" t="s">
        <v>161</v>
      </c>
      <c r="D133" s="5" t="s">
        <v>80</v>
      </c>
      <c r="E133" s="30" t="s">
        <v>727</v>
      </c>
    </row>
    <row r="134" spans="1:5">
      <c r="A134" s="26" t="s">
        <v>672</v>
      </c>
      <c r="B134" s="5" t="s">
        <v>339</v>
      </c>
      <c r="C134" s="5" t="s">
        <v>153</v>
      </c>
      <c r="D134" s="5" t="s">
        <v>677</v>
      </c>
      <c r="E134" s="30" t="s">
        <v>728</v>
      </c>
    </row>
    <row r="135" spans="1:5">
      <c r="A135" s="26" t="s">
        <v>678</v>
      </c>
      <c r="B135" s="5" t="s">
        <v>339</v>
      </c>
      <c r="C135" s="5" t="s">
        <v>153</v>
      </c>
      <c r="D135" s="5" t="s">
        <v>301</v>
      </c>
      <c r="E135" s="30" t="s">
        <v>729</v>
      </c>
    </row>
    <row r="136" spans="1:5">
      <c r="A136" s="26" t="s">
        <v>591</v>
      </c>
      <c r="B136" s="5" t="s">
        <v>336</v>
      </c>
      <c r="C136" s="5" t="s">
        <v>147</v>
      </c>
      <c r="D136" s="5" t="s">
        <v>177</v>
      </c>
      <c r="E136" s="30" t="s">
        <v>730</v>
      </c>
    </row>
    <row r="137" spans="1:5">
      <c r="A137" s="26" t="s">
        <v>632</v>
      </c>
      <c r="B137" s="5" t="s">
        <v>172</v>
      </c>
      <c r="C137" s="5" t="s">
        <v>161</v>
      </c>
      <c r="D137" s="5" t="s">
        <v>250</v>
      </c>
      <c r="E137" s="30" t="s">
        <v>731</v>
      </c>
    </row>
    <row r="138" spans="1:5">
      <c r="A138" s="26" t="s">
        <v>664</v>
      </c>
      <c r="B138" s="5" t="s">
        <v>172</v>
      </c>
      <c r="C138" s="5" t="s">
        <v>155</v>
      </c>
      <c r="D138" s="5" t="s">
        <v>261</v>
      </c>
      <c r="E138" s="30" t="s">
        <v>732</v>
      </c>
    </row>
  </sheetData>
  <mergeCells count="23"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  <mergeCell ref="A39:L39"/>
    <mergeCell ref="A52:L52"/>
    <mergeCell ref="A61:L61"/>
    <mergeCell ref="A15:L15"/>
    <mergeCell ref="A18:L18"/>
    <mergeCell ref="A21:L21"/>
    <mergeCell ref="A25:L25"/>
    <mergeCell ref="A29:L29"/>
    <mergeCell ref="A34:L3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G3" sqref="G3:J3"/>
    </sheetView>
  </sheetViews>
  <sheetFormatPr defaultRowHeight="12.75"/>
  <cols>
    <col min="1" max="1" width="27" style="4" bestFit="1" customWidth="1"/>
    <col min="2" max="2" width="31.28515625" style="5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520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4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209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522</v>
      </c>
      <c r="B6" s="15" t="s">
        <v>523</v>
      </c>
      <c r="C6" s="15" t="s">
        <v>524</v>
      </c>
      <c r="D6" s="15" t="str">
        <f>"0,9856"</f>
        <v>0,9856</v>
      </c>
      <c r="E6" s="17" t="s">
        <v>19</v>
      </c>
      <c r="F6" s="17" t="s">
        <v>497</v>
      </c>
      <c r="G6" s="15" t="s">
        <v>249</v>
      </c>
      <c r="H6" s="15" t="s">
        <v>525</v>
      </c>
      <c r="I6" s="18"/>
      <c r="J6" s="18"/>
      <c r="K6" s="17" t="str">
        <f>"160,0"</f>
        <v>160,0</v>
      </c>
      <c r="L6" s="15" t="str">
        <f>"157,6960"</f>
        <v>157,6960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527</v>
      </c>
      <c r="B9" s="36" t="s">
        <v>915</v>
      </c>
      <c r="C9" s="15" t="s">
        <v>529</v>
      </c>
      <c r="D9" s="15" t="str">
        <f>"0,7409"</f>
        <v>0,7409</v>
      </c>
      <c r="E9" s="17" t="s">
        <v>19</v>
      </c>
      <c r="F9" s="17" t="s">
        <v>497</v>
      </c>
      <c r="G9" s="15" t="s">
        <v>111</v>
      </c>
      <c r="H9" s="15" t="s">
        <v>35</v>
      </c>
      <c r="I9" s="18" t="s">
        <v>307</v>
      </c>
      <c r="J9" s="18"/>
      <c r="K9" s="17" t="str">
        <f>"200,0"</f>
        <v>200,0</v>
      </c>
      <c r="L9" s="15" t="str">
        <f>"148,1800"</f>
        <v>148,1800</v>
      </c>
      <c r="M9" s="17"/>
    </row>
    <row r="10" spans="1:13">
      <c r="A10" s="17" t="s">
        <v>527</v>
      </c>
      <c r="B10" s="15" t="s">
        <v>528</v>
      </c>
      <c r="C10" s="15" t="s">
        <v>529</v>
      </c>
      <c r="D10" s="15" t="str">
        <f>"0,7409"</f>
        <v>0,7409</v>
      </c>
      <c r="E10" s="17" t="s">
        <v>19</v>
      </c>
      <c r="F10" s="17" t="s">
        <v>497</v>
      </c>
      <c r="G10" s="15" t="s">
        <v>111</v>
      </c>
      <c r="H10" s="15" t="s">
        <v>35</v>
      </c>
      <c r="I10" s="18" t="s">
        <v>307</v>
      </c>
      <c r="J10" s="18"/>
      <c r="K10" s="17" t="str">
        <f>"200,0"</f>
        <v>200,0</v>
      </c>
      <c r="L10" s="15" t="str">
        <f>"148,1800"</f>
        <v>148,1800</v>
      </c>
      <c r="M10" s="17"/>
    </row>
    <row r="12" spans="1:13" ht="15">
      <c r="E12" s="21" t="s">
        <v>128</v>
      </c>
    </row>
    <row r="13" spans="1:13" ht="15">
      <c r="E13" s="21" t="s">
        <v>129</v>
      </c>
    </row>
    <row r="14" spans="1:13" ht="15">
      <c r="E14" s="21" t="s">
        <v>130</v>
      </c>
    </row>
    <row r="15" spans="1:13">
      <c r="E15" s="4" t="s">
        <v>131</v>
      </c>
    </row>
    <row r="16" spans="1:13">
      <c r="E16" s="4" t="s">
        <v>132</v>
      </c>
    </row>
    <row r="17" spans="1:5">
      <c r="E17" s="4" t="s">
        <v>133</v>
      </c>
    </row>
    <row r="20" spans="1:5" ht="18">
      <c r="A20" s="22" t="s">
        <v>134</v>
      </c>
      <c r="B20" s="23"/>
    </row>
    <row r="21" spans="1:5" ht="15">
      <c r="A21" s="24" t="s">
        <v>135</v>
      </c>
      <c r="B21" s="25"/>
    </row>
    <row r="22" spans="1:5" ht="14.25">
      <c r="A22" s="27"/>
      <c r="B22" s="28" t="s">
        <v>143</v>
      </c>
    </row>
    <row r="23" spans="1:5" ht="15">
      <c r="A23" s="29" t="s">
        <v>0</v>
      </c>
      <c r="B23" s="29" t="s">
        <v>137</v>
      </c>
      <c r="C23" s="29" t="s">
        <v>138</v>
      </c>
      <c r="D23" s="29" t="s">
        <v>139</v>
      </c>
      <c r="E23" s="29" t="s">
        <v>12</v>
      </c>
    </row>
    <row r="24" spans="1:5">
      <c r="A24" s="26" t="s">
        <v>521</v>
      </c>
      <c r="B24" s="5" t="s">
        <v>143</v>
      </c>
      <c r="C24" s="5" t="s">
        <v>313</v>
      </c>
      <c r="D24" s="5" t="s">
        <v>52</v>
      </c>
      <c r="E24" s="30" t="s">
        <v>530</v>
      </c>
    </row>
    <row r="25" spans="1:5">
      <c r="A25" s="26" t="s">
        <v>526</v>
      </c>
      <c r="B25" s="5" t="s">
        <v>143</v>
      </c>
      <c r="C25" s="5" t="s">
        <v>173</v>
      </c>
      <c r="D25" s="5" t="s">
        <v>35</v>
      </c>
      <c r="E25" s="30" t="s">
        <v>531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3"/>
  <sheetViews>
    <sheetView topLeftCell="A14" workbookViewId="0">
      <selection activeCell="B36" sqref="B36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0.5703125" style="4" bestFit="1" customWidth="1"/>
    <col min="14" max="16384" width="9.140625" style="3"/>
  </cols>
  <sheetData>
    <row r="1" spans="1:13" s="2" customFormat="1" ht="29.1" customHeight="1">
      <c r="A1" s="46" t="s">
        <v>440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4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442</v>
      </c>
      <c r="B6" s="15" t="s">
        <v>443</v>
      </c>
      <c r="C6" s="15" t="s">
        <v>444</v>
      </c>
      <c r="D6" s="15" t="str">
        <f>"0,8185"</f>
        <v>0,8185</v>
      </c>
      <c r="E6" s="17" t="s">
        <v>19</v>
      </c>
      <c r="F6" s="17" t="s">
        <v>445</v>
      </c>
      <c r="G6" s="15" t="s">
        <v>446</v>
      </c>
      <c r="H6" s="18" t="s">
        <v>372</v>
      </c>
      <c r="I6" s="18" t="s">
        <v>372</v>
      </c>
      <c r="J6" s="18"/>
      <c r="K6" s="17" t="str">
        <f>"97,5"</f>
        <v>97,5</v>
      </c>
      <c r="L6" s="15" t="str">
        <f>"80,0432"</f>
        <v>80,0432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54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9" t="s">
        <v>448</v>
      </c>
      <c r="B9" s="10" t="s">
        <v>449</v>
      </c>
      <c r="C9" s="10" t="s">
        <v>450</v>
      </c>
      <c r="D9" s="10" t="str">
        <f>"0,6774"</f>
        <v>0,6774</v>
      </c>
      <c r="E9" s="9" t="s">
        <v>72</v>
      </c>
      <c r="F9" s="9" t="s">
        <v>64</v>
      </c>
      <c r="G9" s="10" t="s">
        <v>249</v>
      </c>
      <c r="H9" s="11" t="s">
        <v>52</v>
      </c>
      <c r="I9" s="11" t="s">
        <v>52</v>
      </c>
      <c r="J9" s="11"/>
      <c r="K9" s="9" t="str">
        <f>"150,0"</f>
        <v>150,0</v>
      </c>
      <c r="L9" s="10" t="str">
        <f>"101,6100"</f>
        <v>101,6100</v>
      </c>
      <c r="M9" s="9" t="s">
        <v>451</v>
      </c>
    </row>
    <row r="10" spans="1:13">
      <c r="A10" s="12" t="s">
        <v>453</v>
      </c>
      <c r="B10" s="13" t="s">
        <v>454</v>
      </c>
      <c r="C10" s="13" t="s">
        <v>455</v>
      </c>
      <c r="D10" s="13" t="str">
        <f>"0,6885"</f>
        <v>0,6885</v>
      </c>
      <c r="E10" s="12" t="s">
        <v>456</v>
      </c>
      <c r="F10" s="12" t="s">
        <v>64</v>
      </c>
      <c r="G10" s="13" t="s">
        <v>233</v>
      </c>
      <c r="H10" s="13" t="s">
        <v>457</v>
      </c>
      <c r="I10" s="14" t="s">
        <v>236</v>
      </c>
      <c r="J10" s="14"/>
      <c r="K10" s="12" t="str">
        <f>"107,5"</f>
        <v>107,5</v>
      </c>
      <c r="L10" s="13" t="str">
        <f>"74,0137"</f>
        <v>74,0137</v>
      </c>
      <c r="M10" s="12"/>
    </row>
    <row r="12" spans="1:13" ht="15">
      <c r="A12" s="60" t="s">
        <v>458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</row>
    <row r="13" spans="1:13">
      <c r="A13" s="17" t="s">
        <v>460</v>
      </c>
      <c r="B13" s="15" t="s">
        <v>461</v>
      </c>
      <c r="C13" s="15" t="s">
        <v>462</v>
      </c>
      <c r="D13" s="15" t="str">
        <f>"0,5737"</f>
        <v>0,5737</v>
      </c>
      <c r="E13" s="17" t="s">
        <v>456</v>
      </c>
      <c r="F13" s="17" t="s">
        <v>64</v>
      </c>
      <c r="G13" s="15" t="s">
        <v>21</v>
      </c>
      <c r="H13" s="15" t="s">
        <v>22</v>
      </c>
      <c r="I13" s="15" t="s">
        <v>182</v>
      </c>
      <c r="J13" s="18"/>
      <c r="K13" s="17" t="str">
        <f>"135,0"</f>
        <v>135,0</v>
      </c>
      <c r="L13" s="15" t="str">
        <f>"77,4495"</f>
        <v>77,4495</v>
      </c>
      <c r="M13" s="17"/>
    </row>
    <row r="15" spans="1:13" ht="15">
      <c r="A15" s="60" t="s">
        <v>45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</row>
    <row r="16" spans="1:13">
      <c r="A16" s="17" t="s">
        <v>464</v>
      </c>
      <c r="B16" s="15" t="s">
        <v>465</v>
      </c>
      <c r="C16" s="15" t="s">
        <v>466</v>
      </c>
      <c r="D16" s="15" t="str">
        <f>"0,6694"</f>
        <v>0,6694</v>
      </c>
      <c r="E16" s="17" t="s">
        <v>456</v>
      </c>
      <c r="F16" s="17" t="s">
        <v>64</v>
      </c>
      <c r="G16" s="15" t="s">
        <v>111</v>
      </c>
      <c r="H16" s="18" t="s">
        <v>467</v>
      </c>
      <c r="I16" s="18" t="s">
        <v>467</v>
      </c>
      <c r="J16" s="18"/>
      <c r="K16" s="17" t="str">
        <f>"190,0"</f>
        <v>190,0</v>
      </c>
      <c r="L16" s="15" t="str">
        <f>"127,1860"</f>
        <v>127,1860</v>
      </c>
      <c r="M16" s="17"/>
    </row>
    <row r="18" spans="1:13" ht="15">
      <c r="A18" s="60" t="s">
        <v>54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</row>
    <row r="19" spans="1:13">
      <c r="A19" s="9" t="s">
        <v>468</v>
      </c>
      <c r="B19" s="10" t="s">
        <v>469</v>
      </c>
      <c r="C19" s="10" t="s">
        <v>470</v>
      </c>
      <c r="D19" s="10" t="str">
        <f>"0,6319"</f>
        <v>0,6319</v>
      </c>
      <c r="E19" s="9" t="s">
        <v>19</v>
      </c>
      <c r="F19" s="9" t="s">
        <v>64</v>
      </c>
      <c r="G19" s="11" t="s">
        <v>36</v>
      </c>
      <c r="H19" s="11" t="s">
        <v>36</v>
      </c>
      <c r="I19" s="11" t="s">
        <v>36</v>
      </c>
      <c r="J19" s="11"/>
      <c r="K19" s="9" t="str">
        <f>"0.00"</f>
        <v>0.00</v>
      </c>
      <c r="L19" s="10" t="str">
        <f>"0,0000"</f>
        <v>0,0000</v>
      </c>
      <c r="M19" s="9"/>
    </row>
    <row r="20" spans="1:13">
      <c r="A20" s="12" t="s">
        <v>472</v>
      </c>
      <c r="B20" s="13" t="s">
        <v>473</v>
      </c>
      <c r="C20" s="13" t="s">
        <v>474</v>
      </c>
      <c r="D20" s="13" t="str">
        <f>"0,6364"</f>
        <v>0,6364</v>
      </c>
      <c r="E20" s="12" t="s">
        <v>19</v>
      </c>
      <c r="F20" s="12" t="s">
        <v>247</v>
      </c>
      <c r="G20" s="13" t="s">
        <v>52</v>
      </c>
      <c r="H20" s="13" t="s">
        <v>125</v>
      </c>
      <c r="I20" s="14" t="s">
        <v>35</v>
      </c>
      <c r="J20" s="14"/>
      <c r="K20" s="12" t="str">
        <f>"195,0"</f>
        <v>195,0</v>
      </c>
      <c r="L20" s="13" t="str">
        <f>"130,0547"</f>
        <v>130,0547</v>
      </c>
      <c r="M20" s="12"/>
    </row>
    <row r="22" spans="1:13" ht="15">
      <c r="A22" s="60" t="s">
        <v>81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3">
      <c r="A23" s="17" t="s">
        <v>476</v>
      </c>
      <c r="B23" s="15" t="s">
        <v>477</v>
      </c>
      <c r="C23" s="15" t="s">
        <v>478</v>
      </c>
      <c r="D23" s="15" t="str">
        <f>"0,5861"</f>
        <v>0,5861</v>
      </c>
      <c r="E23" s="17" t="s">
        <v>19</v>
      </c>
      <c r="F23" s="17" t="s">
        <v>64</v>
      </c>
      <c r="G23" s="15" t="s">
        <v>35</v>
      </c>
      <c r="H23" s="15" t="s">
        <v>479</v>
      </c>
      <c r="I23" s="15" t="s">
        <v>480</v>
      </c>
      <c r="J23" s="18"/>
      <c r="K23" s="17" t="str">
        <f>"222,5"</f>
        <v>222,5</v>
      </c>
      <c r="L23" s="15" t="str">
        <f>"134,4499"</f>
        <v>134,4499</v>
      </c>
      <c r="M23" s="17"/>
    </row>
    <row r="25" spans="1:13" ht="15">
      <c r="A25" s="60" t="s">
        <v>87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3">
      <c r="A26" s="9" t="s">
        <v>482</v>
      </c>
      <c r="B26" s="10" t="s">
        <v>483</v>
      </c>
      <c r="C26" s="10" t="s">
        <v>392</v>
      </c>
      <c r="D26" s="10" t="str">
        <f>"0,5543"</f>
        <v>0,5543</v>
      </c>
      <c r="E26" s="9" t="s">
        <v>19</v>
      </c>
      <c r="F26" s="9" t="s">
        <v>64</v>
      </c>
      <c r="G26" s="11" t="s">
        <v>104</v>
      </c>
      <c r="H26" s="10" t="s">
        <v>104</v>
      </c>
      <c r="I26" s="11" t="s">
        <v>484</v>
      </c>
      <c r="J26" s="11"/>
      <c r="K26" s="9" t="str">
        <f>"260,0"</f>
        <v>260,0</v>
      </c>
      <c r="L26" s="10" t="str">
        <f>"144,1180"</f>
        <v>144,1180</v>
      </c>
      <c r="M26" s="9"/>
    </row>
    <row r="27" spans="1:13">
      <c r="A27" s="19" t="s">
        <v>486</v>
      </c>
      <c r="B27" s="16" t="s">
        <v>487</v>
      </c>
      <c r="C27" s="16" t="s">
        <v>488</v>
      </c>
      <c r="D27" s="16" t="str">
        <f>"0,5581"</f>
        <v>0,5581</v>
      </c>
      <c r="E27" s="19" t="s">
        <v>19</v>
      </c>
      <c r="F27" s="19" t="s">
        <v>64</v>
      </c>
      <c r="G27" s="16" t="s">
        <v>467</v>
      </c>
      <c r="H27" s="16" t="s">
        <v>479</v>
      </c>
      <c r="I27" s="16" t="s">
        <v>489</v>
      </c>
      <c r="J27" s="20"/>
      <c r="K27" s="19" t="str">
        <f>"217,5"</f>
        <v>217,5</v>
      </c>
      <c r="L27" s="16" t="str">
        <f>"121,3867"</f>
        <v>121,3867</v>
      </c>
      <c r="M27" s="19"/>
    </row>
    <row r="28" spans="1:13">
      <c r="A28" s="12" t="s">
        <v>491</v>
      </c>
      <c r="B28" s="13" t="s">
        <v>492</v>
      </c>
      <c r="C28" s="13" t="s">
        <v>392</v>
      </c>
      <c r="D28" s="13" t="str">
        <f>"0,5543"</f>
        <v>0,5543</v>
      </c>
      <c r="E28" s="12" t="s">
        <v>456</v>
      </c>
      <c r="F28" s="12" t="s">
        <v>64</v>
      </c>
      <c r="G28" s="13" t="s">
        <v>111</v>
      </c>
      <c r="H28" s="13" t="s">
        <v>467</v>
      </c>
      <c r="I28" s="13" t="s">
        <v>43</v>
      </c>
      <c r="J28" s="14"/>
      <c r="K28" s="12" t="str">
        <f>"210,0"</f>
        <v>210,0</v>
      </c>
      <c r="L28" s="13" t="str">
        <f>"116,4030"</f>
        <v>116,4030</v>
      </c>
      <c r="M28" s="12"/>
    </row>
    <row r="30" spans="1:13" ht="15">
      <c r="A30" s="60" t="s">
        <v>94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3">
      <c r="A31" s="9" t="s">
        <v>494</v>
      </c>
      <c r="B31" s="10" t="s">
        <v>495</v>
      </c>
      <c r="C31" s="10" t="s">
        <v>496</v>
      </c>
      <c r="D31" s="10" t="str">
        <f>"0,5372"</f>
        <v>0,5372</v>
      </c>
      <c r="E31" s="9" t="s">
        <v>19</v>
      </c>
      <c r="F31" s="9" t="s">
        <v>497</v>
      </c>
      <c r="G31" s="10" t="s">
        <v>104</v>
      </c>
      <c r="H31" s="10" t="s">
        <v>357</v>
      </c>
      <c r="I31" s="11"/>
      <c r="J31" s="11"/>
      <c r="K31" s="9" t="str">
        <f>"275,0"</f>
        <v>275,0</v>
      </c>
      <c r="L31" s="10" t="str">
        <f>"147,7300"</f>
        <v>147,7300</v>
      </c>
      <c r="M31" s="9"/>
    </row>
    <row r="32" spans="1:13">
      <c r="A32" s="19" t="s">
        <v>499</v>
      </c>
      <c r="B32" s="16" t="s">
        <v>500</v>
      </c>
      <c r="C32" s="16" t="s">
        <v>501</v>
      </c>
      <c r="D32" s="16" t="str">
        <f>"0,5422"</f>
        <v>0,5422</v>
      </c>
      <c r="E32" s="19" t="s">
        <v>19</v>
      </c>
      <c r="F32" s="19" t="s">
        <v>64</v>
      </c>
      <c r="G32" s="16" t="s">
        <v>111</v>
      </c>
      <c r="H32" s="16" t="s">
        <v>43</v>
      </c>
      <c r="I32" s="20" t="s">
        <v>36</v>
      </c>
      <c r="J32" s="20"/>
      <c r="K32" s="19" t="str">
        <f>"210,0"</f>
        <v>210,0</v>
      </c>
      <c r="L32" s="16" t="str">
        <f>"113,8620"</f>
        <v>113,8620</v>
      </c>
      <c r="M32" s="19"/>
    </row>
    <row r="33" spans="1:13">
      <c r="A33" s="12" t="s">
        <v>494</v>
      </c>
      <c r="B33" s="13" t="s">
        <v>502</v>
      </c>
      <c r="C33" s="13" t="s">
        <v>496</v>
      </c>
      <c r="D33" s="13" t="str">
        <f>"0,5372"</f>
        <v>0,5372</v>
      </c>
      <c r="E33" s="12" t="s">
        <v>19</v>
      </c>
      <c r="F33" s="12" t="s">
        <v>497</v>
      </c>
      <c r="G33" s="13" t="s">
        <v>104</v>
      </c>
      <c r="H33" s="13" t="s">
        <v>357</v>
      </c>
      <c r="I33" s="14"/>
      <c r="J33" s="14"/>
      <c r="K33" s="12" t="str">
        <f>"275,0"</f>
        <v>275,0</v>
      </c>
      <c r="L33" s="13" t="str">
        <f>"147,7300"</f>
        <v>147,7300</v>
      </c>
      <c r="M33" s="12"/>
    </row>
    <row r="35" spans="1:13" ht="15">
      <c r="A35" s="60" t="s">
        <v>112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3">
      <c r="A36" s="17" t="s">
        <v>504</v>
      </c>
      <c r="B36" s="15" t="s">
        <v>1100</v>
      </c>
      <c r="C36" s="15" t="s">
        <v>505</v>
      </c>
      <c r="D36" s="15" t="str">
        <f>"0,5235"</f>
        <v>0,5235</v>
      </c>
      <c r="E36" s="17" t="s">
        <v>456</v>
      </c>
      <c r="F36" s="17" t="s">
        <v>64</v>
      </c>
      <c r="G36" s="18" t="s">
        <v>111</v>
      </c>
      <c r="H36" s="15" t="s">
        <v>111</v>
      </c>
      <c r="I36" s="18" t="s">
        <v>73</v>
      </c>
      <c r="J36" s="18"/>
      <c r="K36" s="17" t="str">
        <f>"190,0"</f>
        <v>190,0</v>
      </c>
      <c r="L36" s="15" t="str">
        <f>"99,4650"</f>
        <v>99,4650</v>
      </c>
      <c r="M36" s="17"/>
    </row>
    <row r="38" spans="1:13" ht="15">
      <c r="E38" s="21" t="s">
        <v>128</v>
      </c>
    </row>
    <row r="39" spans="1:13" ht="15">
      <c r="E39" s="21" t="s">
        <v>129</v>
      </c>
    </row>
    <row r="40" spans="1:13" ht="15">
      <c r="E40" s="21" t="s">
        <v>130</v>
      </c>
    </row>
    <row r="41" spans="1:13">
      <c r="E41" s="4" t="s">
        <v>131</v>
      </c>
    </row>
    <row r="42" spans="1:13">
      <c r="E42" s="4" t="s">
        <v>132</v>
      </c>
    </row>
    <row r="43" spans="1:13">
      <c r="E43" s="4" t="s">
        <v>133</v>
      </c>
    </row>
    <row r="46" spans="1:13" ht="18">
      <c r="A46" s="22" t="s">
        <v>134</v>
      </c>
      <c r="B46" s="23"/>
    </row>
    <row r="47" spans="1:13" ht="15">
      <c r="A47" s="24" t="s">
        <v>135</v>
      </c>
      <c r="B47" s="25"/>
    </row>
    <row r="48" spans="1:13" ht="14.25">
      <c r="A48" s="27"/>
      <c r="B48" s="28" t="s">
        <v>143</v>
      </c>
    </row>
    <row r="49" spans="1:5" ht="15">
      <c r="A49" s="29" t="s">
        <v>0</v>
      </c>
      <c r="B49" s="29" t="s">
        <v>137</v>
      </c>
      <c r="C49" s="29" t="s">
        <v>138</v>
      </c>
      <c r="D49" s="29" t="s">
        <v>139</v>
      </c>
      <c r="E49" s="29" t="s">
        <v>12</v>
      </c>
    </row>
    <row r="50" spans="1:5">
      <c r="A50" s="26" t="s">
        <v>447</v>
      </c>
      <c r="B50" s="5" t="s">
        <v>143</v>
      </c>
      <c r="C50" s="5" t="s">
        <v>147</v>
      </c>
      <c r="D50" s="5" t="s">
        <v>249</v>
      </c>
      <c r="E50" s="30" t="s">
        <v>506</v>
      </c>
    </row>
    <row r="51" spans="1:5">
      <c r="A51" s="26" t="s">
        <v>459</v>
      </c>
      <c r="B51" s="5" t="s">
        <v>143</v>
      </c>
      <c r="C51" s="5" t="s">
        <v>507</v>
      </c>
      <c r="D51" s="5" t="s">
        <v>182</v>
      </c>
      <c r="E51" s="30" t="s">
        <v>508</v>
      </c>
    </row>
    <row r="52" spans="1:5">
      <c r="A52" s="26" t="s">
        <v>452</v>
      </c>
      <c r="B52" s="5" t="s">
        <v>143</v>
      </c>
      <c r="C52" s="5" t="s">
        <v>147</v>
      </c>
      <c r="D52" s="5" t="s">
        <v>457</v>
      </c>
      <c r="E52" s="30" t="s">
        <v>509</v>
      </c>
    </row>
    <row r="54" spans="1:5" ht="14.25">
      <c r="A54" s="27"/>
      <c r="B54" s="28" t="s">
        <v>164</v>
      </c>
    </row>
    <row r="55" spans="1:5" ht="15">
      <c r="A55" s="29" t="s">
        <v>0</v>
      </c>
      <c r="B55" s="29" t="s">
        <v>137</v>
      </c>
      <c r="C55" s="29" t="s">
        <v>138</v>
      </c>
      <c r="D55" s="29" t="s">
        <v>139</v>
      </c>
      <c r="E55" s="29" t="s">
        <v>12</v>
      </c>
    </row>
    <row r="56" spans="1:5">
      <c r="A56" s="26" t="s">
        <v>441</v>
      </c>
      <c r="B56" s="5" t="s">
        <v>172</v>
      </c>
      <c r="C56" s="5" t="s">
        <v>141</v>
      </c>
      <c r="D56" s="5" t="s">
        <v>446</v>
      </c>
      <c r="E56" s="30" t="s">
        <v>510</v>
      </c>
    </row>
    <row r="59" spans="1:5" ht="15">
      <c r="A59" s="24" t="s">
        <v>145</v>
      </c>
      <c r="B59" s="25"/>
    </row>
    <row r="60" spans="1:5" ht="14.25">
      <c r="A60" s="27"/>
      <c r="B60" s="28" t="s">
        <v>136</v>
      </c>
    </row>
    <row r="61" spans="1:5" ht="15">
      <c r="A61" s="29" t="s">
        <v>0</v>
      </c>
      <c r="B61" s="29" t="s">
        <v>137</v>
      </c>
      <c r="C61" s="29" t="s">
        <v>138</v>
      </c>
      <c r="D61" s="29" t="s">
        <v>139</v>
      </c>
      <c r="E61" s="29" t="s">
        <v>12</v>
      </c>
    </row>
    <row r="62" spans="1:5">
      <c r="A62" s="26" t="s">
        <v>503</v>
      </c>
      <c r="B62" s="5" t="s">
        <v>140</v>
      </c>
      <c r="C62" s="5" t="s">
        <v>153</v>
      </c>
      <c r="D62" s="5" t="s">
        <v>111</v>
      </c>
      <c r="E62" s="30" t="s">
        <v>511</v>
      </c>
    </row>
    <row r="64" spans="1:5" ht="14.25">
      <c r="A64" s="27"/>
      <c r="B64" s="28" t="s">
        <v>149</v>
      </c>
    </row>
    <row r="65" spans="1:5" ht="15">
      <c r="A65" s="29" t="s">
        <v>0</v>
      </c>
      <c r="B65" s="29" t="s">
        <v>137</v>
      </c>
      <c r="C65" s="29" t="s">
        <v>138</v>
      </c>
      <c r="D65" s="29" t="s">
        <v>139</v>
      </c>
      <c r="E65" s="29" t="s">
        <v>12</v>
      </c>
    </row>
    <row r="66" spans="1:5">
      <c r="A66" s="26" t="s">
        <v>463</v>
      </c>
      <c r="B66" s="5" t="s">
        <v>150</v>
      </c>
      <c r="C66" s="5" t="s">
        <v>173</v>
      </c>
      <c r="D66" s="5" t="s">
        <v>111</v>
      </c>
      <c r="E66" s="30" t="s">
        <v>512</v>
      </c>
    </row>
    <row r="68" spans="1:5" ht="14.25">
      <c r="A68" s="27"/>
      <c r="B68" s="28" t="s">
        <v>143</v>
      </c>
    </row>
    <row r="69" spans="1:5" ht="15">
      <c r="A69" s="29" t="s">
        <v>0</v>
      </c>
      <c r="B69" s="29" t="s">
        <v>137</v>
      </c>
      <c r="C69" s="29" t="s">
        <v>138</v>
      </c>
      <c r="D69" s="29" t="s">
        <v>139</v>
      </c>
      <c r="E69" s="29" t="s">
        <v>12</v>
      </c>
    </row>
    <row r="70" spans="1:5">
      <c r="A70" s="26" t="s">
        <v>493</v>
      </c>
      <c r="B70" s="5" t="s">
        <v>143</v>
      </c>
      <c r="C70" s="5" t="s">
        <v>155</v>
      </c>
      <c r="D70" s="5" t="s">
        <v>357</v>
      </c>
      <c r="E70" s="30" t="s">
        <v>513</v>
      </c>
    </row>
    <row r="71" spans="1:5">
      <c r="A71" s="26" t="s">
        <v>481</v>
      </c>
      <c r="B71" s="5" t="s">
        <v>143</v>
      </c>
      <c r="C71" s="5" t="s">
        <v>161</v>
      </c>
      <c r="D71" s="5" t="s">
        <v>104</v>
      </c>
      <c r="E71" s="30" t="s">
        <v>514</v>
      </c>
    </row>
    <row r="72" spans="1:5">
      <c r="A72" s="26" t="s">
        <v>485</v>
      </c>
      <c r="B72" s="5" t="s">
        <v>143</v>
      </c>
      <c r="C72" s="5" t="s">
        <v>161</v>
      </c>
      <c r="D72" s="5" t="s">
        <v>489</v>
      </c>
      <c r="E72" s="30" t="s">
        <v>515</v>
      </c>
    </row>
    <row r="73" spans="1:5">
      <c r="A73" s="26" t="s">
        <v>490</v>
      </c>
      <c r="B73" s="5" t="s">
        <v>143</v>
      </c>
      <c r="C73" s="5" t="s">
        <v>161</v>
      </c>
      <c r="D73" s="5" t="s">
        <v>43</v>
      </c>
      <c r="E73" s="30" t="s">
        <v>516</v>
      </c>
    </row>
    <row r="74" spans="1:5">
      <c r="A74" s="26" t="s">
        <v>498</v>
      </c>
      <c r="B74" s="5" t="s">
        <v>143</v>
      </c>
      <c r="C74" s="5" t="s">
        <v>155</v>
      </c>
      <c r="D74" s="5" t="s">
        <v>43</v>
      </c>
      <c r="E74" s="30" t="s">
        <v>517</v>
      </c>
    </row>
    <row r="76" spans="1:5" ht="14.25">
      <c r="A76" s="27"/>
      <c r="B76" s="28" t="s">
        <v>328</v>
      </c>
    </row>
    <row r="77" spans="1:5" ht="15">
      <c r="A77" s="29" t="s">
        <v>0</v>
      </c>
      <c r="B77" s="29" t="s">
        <v>137</v>
      </c>
      <c r="C77" s="29" t="s">
        <v>138</v>
      </c>
      <c r="D77" s="29" t="s">
        <v>139</v>
      </c>
      <c r="E77" s="29" t="s">
        <v>12</v>
      </c>
    </row>
    <row r="78" spans="1:5">
      <c r="A78" s="26" t="s">
        <v>493</v>
      </c>
      <c r="B78" s="5" t="s">
        <v>329</v>
      </c>
      <c r="C78" s="5" t="s">
        <v>155</v>
      </c>
      <c r="D78" s="5" t="s">
        <v>357</v>
      </c>
      <c r="E78" s="30" t="s">
        <v>513</v>
      </c>
    </row>
    <row r="80" spans="1:5" ht="14.25">
      <c r="A80" s="27"/>
      <c r="B80" s="28" t="s">
        <v>164</v>
      </c>
    </row>
    <row r="81" spans="1:5" ht="15">
      <c r="A81" s="29" t="s">
        <v>0</v>
      </c>
      <c r="B81" s="29" t="s">
        <v>137</v>
      </c>
      <c r="C81" s="29" t="s">
        <v>138</v>
      </c>
      <c r="D81" s="29" t="s">
        <v>139</v>
      </c>
      <c r="E81" s="29" t="s">
        <v>12</v>
      </c>
    </row>
    <row r="82" spans="1:5">
      <c r="A82" s="26" t="s">
        <v>475</v>
      </c>
      <c r="B82" s="5" t="s">
        <v>172</v>
      </c>
      <c r="C82" s="5" t="s">
        <v>166</v>
      </c>
      <c r="D82" s="5" t="s">
        <v>480</v>
      </c>
      <c r="E82" s="30" t="s">
        <v>518</v>
      </c>
    </row>
    <row r="83" spans="1:5">
      <c r="A83" s="26" t="s">
        <v>471</v>
      </c>
      <c r="B83" s="5" t="s">
        <v>339</v>
      </c>
      <c r="C83" s="5" t="s">
        <v>147</v>
      </c>
      <c r="D83" s="5" t="s">
        <v>125</v>
      </c>
      <c r="E83" s="30" t="s">
        <v>519</v>
      </c>
    </row>
  </sheetData>
  <mergeCells count="20">
    <mergeCell ref="A1:M2"/>
    <mergeCell ref="A3:A4"/>
    <mergeCell ref="B3:B4"/>
    <mergeCell ref="C3:C4"/>
    <mergeCell ref="D3:D4"/>
    <mergeCell ref="E3:E4"/>
    <mergeCell ref="F3:F4"/>
    <mergeCell ref="G3:J3"/>
    <mergeCell ref="A35:L35"/>
    <mergeCell ref="K3:K4"/>
    <mergeCell ref="L3:L4"/>
    <mergeCell ref="M3:M4"/>
    <mergeCell ref="A5:L5"/>
    <mergeCell ref="A8:L8"/>
    <mergeCell ref="A12:L12"/>
    <mergeCell ref="A15:L15"/>
    <mergeCell ref="A18:L18"/>
    <mergeCell ref="A22:L22"/>
    <mergeCell ref="A25:L25"/>
    <mergeCell ref="A30:L3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46" t="s">
        <v>434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2</v>
      </c>
      <c r="H3" s="56"/>
      <c r="I3" s="56"/>
      <c r="J3" s="59"/>
      <c r="K3" s="52" t="s">
        <v>3</v>
      </c>
      <c r="L3" s="56"/>
      <c r="M3" s="56"/>
      <c r="N3" s="59"/>
      <c r="O3" s="52" t="s">
        <v>4</v>
      </c>
      <c r="P3" s="56"/>
      <c r="Q3" s="56"/>
      <c r="R3" s="59"/>
      <c r="S3" s="61" t="s">
        <v>9</v>
      </c>
      <c r="T3" s="56" t="s">
        <v>6</v>
      </c>
      <c r="U3" s="59" t="s">
        <v>5</v>
      </c>
    </row>
    <row r="4" spans="1:21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62"/>
      <c r="T4" s="55"/>
      <c r="U4" s="63"/>
    </row>
    <row r="5" spans="1:21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</row>
    <row r="6" spans="1:21" s="5" customFormat="1">
      <c r="A6" s="17" t="s">
        <v>204</v>
      </c>
      <c r="B6" s="15" t="s">
        <v>205</v>
      </c>
      <c r="C6" s="15" t="s">
        <v>206</v>
      </c>
      <c r="D6" s="15" t="str">
        <f>"0,6209"</f>
        <v>0,6209</v>
      </c>
      <c r="E6" s="17" t="s">
        <v>19</v>
      </c>
      <c r="F6" s="17" t="s">
        <v>20</v>
      </c>
      <c r="G6" s="15" t="s">
        <v>35</v>
      </c>
      <c r="H6" s="15" t="s">
        <v>59</v>
      </c>
      <c r="I6" s="18" t="s">
        <v>37</v>
      </c>
      <c r="J6" s="18"/>
      <c r="K6" s="15" t="s">
        <v>233</v>
      </c>
      <c r="L6" s="15" t="s">
        <v>21</v>
      </c>
      <c r="M6" s="15" t="s">
        <v>378</v>
      </c>
      <c r="N6" s="18"/>
      <c r="O6" s="15" t="s">
        <v>78</v>
      </c>
      <c r="P6" s="15" t="s">
        <v>35</v>
      </c>
      <c r="Q6" s="15" t="s">
        <v>59</v>
      </c>
      <c r="R6" s="18"/>
      <c r="S6" s="17" t="str">
        <f>"562,5"</f>
        <v>562,5</v>
      </c>
      <c r="T6" s="15" t="str">
        <f>"349,2562"</f>
        <v>349,2562</v>
      </c>
      <c r="U6" s="17"/>
    </row>
    <row r="7" spans="1:21" s="5" customFormat="1">
      <c r="A7" s="4"/>
      <c r="E7" s="4"/>
      <c r="F7" s="4"/>
      <c r="S7" s="4"/>
      <c r="U7" s="4"/>
    </row>
    <row r="8" spans="1:21" ht="15">
      <c r="A8" s="60" t="s">
        <v>81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1">
      <c r="A9" s="17" t="s">
        <v>435</v>
      </c>
      <c r="B9" s="15" t="s">
        <v>436</v>
      </c>
      <c r="C9" s="15" t="s">
        <v>437</v>
      </c>
      <c r="D9" s="15" t="str">
        <f>"0,5897"</f>
        <v>0,5897</v>
      </c>
      <c r="E9" s="17" t="s">
        <v>19</v>
      </c>
      <c r="F9" s="17" t="s">
        <v>64</v>
      </c>
      <c r="G9" s="18" t="s">
        <v>104</v>
      </c>
      <c r="H9" s="18" t="s">
        <v>105</v>
      </c>
      <c r="I9" s="18" t="s">
        <v>105</v>
      </c>
      <c r="J9" s="18"/>
      <c r="K9" s="18" t="s">
        <v>249</v>
      </c>
      <c r="L9" s="18"/>
      <c r="M9" s="18"/>
      <c r="N9" s="18"/>
      <c r="O9" s="18" t="s">
        <v>92</v>
      </c>
      <c r="P9" s="18"/>
      <c r="Q9" s="18"/>
      <c r="R9" s="18"/>
      <c r="S9" s="17" t="str">
        <f>"0.00"</f>
        <v>0.00</v>
      </c>
      <c r="T9" s="15" t="str">
        <f>"0,0000"</f>
        <v>0,0000</v>
      </c>
      <c r="U9" s="17"/>
    </row>
    <row r="11" spans="1:21" ht="15">
      <c r="E11" s="21" t="s">
        <v>128</v>
      </c>
    </row>
    <row r="12" spans="1:21" ht="15">
      <c r="E12" s="21" t="s">
        <v>129</v>
      </c>
    </row>
    <row r="13" spans="1:21" ht="15">
      <c r="E13" s="21" t="s">
        <v>130</v>
      </c>
    </row>
    <row r="14" spans="1:21">
      <c r="E14" s="4" t="s">
        <v>131</v>
      </c>
    </row>
    <row r="15" spans="1:21">
      <c r="E15" s="4" t="s">
        <v>132</v>
      </c>
    </row>
    <row r="16" spans="1:21">
      <c r="E16" s="4" t="s">
        <v>133</v>
      </c>
    </row>
    <row r="19" spans="1:5" ht="18">
      <c r="A19" s="22" t="s">
        <v>134</v>
      </c>
      <c r="B19" s="23"/>
    </row>
    <row r="20" spans="1:5" ht="15">
      <c r="A20" s="24" t="s">
        <v>145</v>
      </c>
      <c r="B20" s="25"/>
    </row>
    <row r="21" spans="1:5" ht="14.25">
      <c r="A21" s="27"/>
      <c r="B21" s="28" t="s">
        <v>143</v>
      </c>
    </row>
    <row r="22" spans="1:5" ht="15">
      <c r="A22" s="29" t="s">
        <v>0</v>
      </c>
      <c r="B22" s="29" t="s">
        <v>137</v>
      </c>
      <c r="C22" s="29" t="s">
        <v>138</v>
      </c>
      <c r="D22" s="29" t="s">
        <v>139</v>
      </c>
      <c r="E22" s="29" t="s">
        <v>12</v>
      </c>
    </row>
    <row r="23" spans="1:5">
      <c r="A23" s="26" t="s">
        <v>203</v>
      </c>
      <c r="B23" s="5" t="s">
        <v>143</v>
      </c>
      <c r="C23" s="5" t="s">
        <v>147</v>
      </c>
      <c r="D23" s="5" t="s">
        <v>438</v>
      </c>
      <c r="E23" s="30" t="s">
        <v>439</v>
      </c>
    </row>
  </sheetData>
  <mergeCells count="15">
    <mergeCell ref="A5:T5"/>
    <mergeCell ref="A8:T8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7109375" style="4" bestFit="1" customWidth="1"/>
    <col min="7" max="8" width="6.85546875" style="5" bestFit="1" customWidth="1"/>
    <col min="9" max="9" width="6.85546875" style="5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1008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907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34">
        <v>1</v>
      </c>
      <c r="H4" s="31">
        <v>2</v>
      </c>
      <c r="I4" s="31">
        <v>3</v>
      </c>
      <c r="J4" s="32" t="s">
        <v>7</v>
      </c>
      <c r="K4" s="62"/>
      <c r="L4" s="55"/>
      <c r="M4" s="63"/>
    </row>
    <row r="5" spans="1:13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1007</v>
      </c>
      <c r="B6" s="15" t="s">
        <v>1006</v>
      </c>
      <c r="C6" s="15" t="s">
        <v>1005</v>
      </c>
      <c r="D6" s="15" t="str">
        <f>"0,6529"</f>
        <v>0,6529</v>
      </c>
      <c r="E6" s="17" t="s">
        <v>19</v>
      </c>
      <c r="F6" s="17" t="s">
        <v>50</v>
      </c>
      <c r="G6" s="15" t="s">
        <v>1004</v>
      </c>
      <c r="H6" s="15" t="s">
        <v>1003</v>
      </c>
      <c r="I6" s="15" t="s">
        <v>1002</v>
      </c>
      <c r="J6" s="18"/>
      <c r="K6" s="17" t="str">
        <f>"160,0"</f>
        <v>160,0</v>
      </c>
      <c r="L6" s="15" t="str">
        <f>"104,4640"</f>
        <v>104,4640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9" t="s">
        <v>1001</v>
      </c>
      <c r="B9" s="10" t="s">
        <v>1000</v>
      </c>
      <c r="C9" s="10" t="s">
        <v>392</v>
      </c>
      <c r="D9" s="10" t="str">
        <f>"0,5816"</f>
        <v>0,5816</v>
      </c>
      <c r="E9" s="9" t="s">
        <v>19</v>
      </c>
      <c r="F9" s="9" t="s">
        <v>575</v>
      </c>
      <c r="G9" s="10" t="s">
        <v>999</v>
      </c>
      <c r="H9" s="11" t="s">
        <v>365</v>
      </c>
      <c r="I9" s="10" t="s">
        <v>978</v>
      </c>
      <c r="J9" s="11"/>
      <c r="K9" s="9" t="str">
        <f>"290,0"</f>
        <v>290,0</v>
      </c>
      <c r="L9" s="10" t="str">
        <f>"168,6495"</f>
        <v>168,6495</v>
      </c>
      <c r="M9" s="9"/>
    </row>
    <row r="10" spans="1:13">
      <c r="A10" s="19" t="s">
        <v>998</v>
      </c>
      <c r="B10" s="16" t="s">
        <v>997</v>
      </c>
      <c r="C10" s="16" t="s">
        <v>996</v>
      </c>
      <c r="D10" s="16" t="str">
        <f>"0,5938"</f>
        <v>0,5938</v>
      </c>
      <c r="E10" s="19" t="s">
        <v>19</v>
      </c>
      <c r="F10" s="19" t="s">
        <v>270</v>
      </c>
      <c r="G10" s="16" t="s">
        <v>995</v>
      </c>
      <c r="H10" s="16" t="s">
        <v>126</v>
      </c>
      <c r="I10" s="20" t="s">
        <v>65</v>
      </c>
      <c r="J10" s="20"/>
      <c r="K10" s="19" t="str">
        <f>"205,0"</f>
        <v>205,0</v>
      </c>
      <c r="L10" s="16" t="str">
        <f>"121,7188"</f>
        <v>121,7188</v>
      </c>
      <c r="M10" s="19"/>
    </row>
    <row r="11" spans="1:13">
      <c r="A11" s="12" t="s">
        <v>994</v>
      </c>
      <c r="B11" s="13" t="s">
        <v>993</v>
      </c>
      <c r="C11" s="13" t="s">
        <v>635</v>
      </c>
      <c r="D11" s="13" t="str">
        <f>"0,5843"</f>
        <v>0,5843</v>
      </c>
      <c r="E11" s="12" t="s">
        <v>19</v>
      </c>
      <c r="F11" s="12" t="s">
        <v>284</v>
      </c>
      <c r="G11" s="14" t="s">
        <v>106</v>
      </c>
      <c r="H11" s="13" t="s">
        <v>992</v>
      </c>
      <c r="I11" s="14" t="s">
        <v>926</v>
      </c>
      <c r="J11" s="14"/>
      <c r="K11" s="12" t="str">
        <f>"302,5"</f>
        <v>302,5</v>
      </c>
      <c r="L11" s="13" t="str">
        <f>"176,7507"</f>
        <v>176,7507</v>
      </c>
      <c r="M11" s="12"/>
    </row>
    <row r="13" spans="1:13" ht="15">
      <c r="A13" s="60" t="s">
        <v>94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>
      <c r="A14" s="17" t="s">
        <v>991</v>
      </c>
      <c r="B14" s="15" t="s">
        <v>990</v>
      </c>
      <c r="C14" s="15" t="s">
        <v>989</v>
      </c>
      <c r="D14" s="15" t="str">
        <f>"0,5688"</f>
        <v>0,5688</v>
      </c>
      <c r="E14" s="17" t="s">
        <v>19</v>
      </c>
      <c r="F14" s="17" t="s">
        <v>64</v>
      </c>
      <c r="G14" s="15" t="s">
        <v>981</v>
      </c>
      <c r="H14" s="15" t="s">
        <v>988</v>
      </c>
      <c r="I14" s="18" t="s">
        <v>987</v>
      </c>
      <c r="J14" s="18"/>
      <c r="K14" s="17" t="str">
        <f>"335,0"</f>
        <v>335,0</v>
      </c>
      <c r="L14" s="15" t="str">
        <f>"190,5647"</f>
        <v>190,5647</v>
      </c>
      <c r="M14" s="17"/>
    </row>
    <row r="16" spans="1:13" ht="15">
      <c r="A16" s="60" t="s">
        <v>112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3">
      <c r="A17" s="17" t="s">
        <v>986</v>
      </c>
      <c r="B17" s="15" t="s">
        <v>985</v>
      </c>
      <c r="C17" s="15" t="s">
        <v>984</v>
      </c>
      <c r="D17" s="15" t="str">
        <f>"0,5499"</f>
        <v>0,5499</v>
      </c>
      <c r="E17" s="17" t="s">
        <v>19</v>
      </c>
      <c r="F17" s="17" t="s">
        <v>575</v>
      </c>
      <c r="G17" s="15" t="s">
        <v>983</v>
      </c>
      <c r="H17" s="15" t="s">
        <v>982</v>
      </c>
      <c r="I17" s="15" t="s">
        <v>981</v>
      </c>
      <c r="J17" s="18"/>
      <c r="K17" s="17" t="str">
        <f>"325,0"</f>
        <v>325,0</v>
      </c>
      <c r="L17" s="15" t="str">
        <f>"178,7175"</f>
        <v>178,7175</v>
      </c>
      <c r="M17" s="17"/>
    </row>
    <row r="19" spans="1:13" ht="15">
      <c r="A19" s="60" t="s">
        <v>980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</row>
    <row r="20" spans="1:13">
      <c r="A20" s="17" t="s">
        <v>189</v>
      </c>
      <c r="B20" s="15" t="s">
        <v>195</v>
      </c>
      <c r="C20" s="15" t="s">
        <v>191</v>
      </c>
      <c r="D20" s="15" t="str">
        <f>"0,5167"</f>
        <v>0,5167</v>
      </c>
      <c r="E20" s="17" t="s">
        <v>19</v>
      </c>
      <c r="F20" s="17" t="s">
        <v>192</v>
      </c>
      <c r="G20" s="15" t="s">
        <v>979</v>
      </c>
      <c r="H20" s="15" t="s">
        <v>978</v>
      </c>
      <c r="I20" s="18"/>
      <c r="J20" s="18"/>
      <c r="K20" s="17" t="str">
        <f>"290,0"</f>
        <v>290,0</v>
      </c>
      <c r="L20" s="15" t="str">
        <f>"156,2908"</f>
        <v>156,2908</v>
      </c>
      <c r="M20" s="17"/>
    </row>
    <row r="22" spans="1:13" ht="15">
      <c r="E22" s="21" t="s">
        <v>128</v>
      </c>
    </row>
    <row r="23" spans="1:13" ht="15">
      <c r="E23" s="21" t="s">
        <v>129</v>
      </c>
    </row>
    <row r="24" spans="1:13" ht="15">
      <c r="E24" s="21" t="s">
        <v>130</v>
      </c>
    </row>
    <row r="25" spans="1:13">
      <c r="E25" s="4" t="s">
        <v>131</v>
      </c>
    </row>
    <row r="26" spans="1:13">
      <c r="E26" s="4" t="s">
        <v>132</v>
      </c>
    </row>
    <row r="27" spans="1:13">
      <c r="E27" s="4" t="s">
        <v>133</v>
      </c>
    </row>
    <row r="30" spans="1:13" ht="18">
      <c r="A30" s="22" t="s">
        <v>134</v>
      </c>
      <c r="B30" s="23"/>
    </row>
    <row r="31" spans="1:13" ht="15">
      <c r="A31" s="24" t="s">
        <v>145</v>
      </c>
      <c r="B31" s="33"/>
    </row>
    <row r="32" spans="1:13" ht="14.25">
      <c r="A32" s="27"/>
      <c r="B32" s="28" t="s">
        <v>143</v>
      </c>
    </row>
    <row r="33" spans="1:5" s="3" customFormat="1" ht="15">
      <c r="A33" s="29" t="s">
        <v>0</v>
      </c>
      <c r="B33" s="29" t="s">
        <v>137</v>
      </c>
      <c r="C33" s="29" t="s">
        <v>138</v>
      </c>
      <c r="D33" s="29" t="s">
        <v>139</v>
      </c>
      <c r="E33" s="29" t="s">
        <v>907</v>
      </c>
    </row>
    <row r="34" spans="1:5" s="3" customFormat="1">
      <c r="A34" s="26" t="s">
        <v>977</v>
      </c>
      <c r="B34" s="5" t="s">
        <v>143</v>
      </c>
      <c r="C34" s="5" t="s">
        <v>155</v>
      </c>
      <c r="D34" s="5" t="s">
        <v>194</v>
      </c>
      <c r="E34" s="30" t="s">
        <v>976</v>
      </c>
    </row>
    <row r="35" spans="1:5" s="3" customFormat="1">
      <c r="A35" s="26" t="s">
        <v>975</v>
      </c>
      <c r="B35" s="5" t="s">
        <v>143</v>
      </c>
      <c r="C35" s="5" t="s">
        <v>153</v>
      </c>
      <c r="D35" s="5" t="s">
        <v>974</v>
      </c>
      <c r="E35" s="30" t="s">
        <v>973</v>
      </c>
    </row>
    <row r="36" spans="1:5" s="3" customFormat="1">
      <c r="A36" s="26" t="s">
        <v>972</v>
      </c>
      <c r="B36" s="5" t="s">
        <v>143</v>
      </c>
      <c r="C36" s="5" t="s">
        <v>161</v>
      </c>
      <c r="D36" s="5" t="s">
        <v>365</v>
      </c>
      <c r="E36" s="30" t="s">
        <v>971</v>
      </c>
    </row>
    <row r="37" spans="1:5" s="3" customFormat="1">
      <c r="A37" s="26" t="s">
        <v>970</v>
      </c>
      <c r="B37" s="5" t="s">
        <v>143</v>
      </c>
      <c r="C37" s="5" t="s">
        <v>161</v>
      </c>
      <c r="D37" s="5" t="s">
        <v>126</v>
      </c>
      <c r="E37" s="30" t="s">
        <v>969</v>
      </c>
    </row>
    <row r="38" spans="1:5" s="3" customFormat="1">
      <c r="A38" s="26" t="s">
        <v>968</v>
      </c>
      <c r="B38" s="5" t="s">
        <v>143</v>
      </c>
      <c r="C38" s="5" t="s">
        <v>147</v>
      </c>
      <c r="D38" s="5" t="s">
        <v>52</v>
      </c>
      <c r="E38" s="30" t="s">
        <v>967</v>
      </c>
    </row>
    <row r="40" spans="1:5" s="3" customFormat="1" ht="14.25">
      <c r="A40" s="27"/>
      <c r="B40" s="28" t="s">
        <v>164</v>
      </c>
      <c r="C40" s="5"/>
      <c r="D40" s="5"/>
      <c r="E40" s="4"/>
    </row>
    <row r="41" spans="1:5" s="3" customFormat="1" ht="15">
      <c r="A41" s="29" t="s">
        <v>0</v>
      </c>
      <c r="B41" s="29" t="s">
        <v>137</v>
      </c>
      <c r="C41" s="29" t="s">
        <v>138</v>
      </c>
      <c r="D41" s="29" t="s">
        <v>139</v>
      </c>
      <c r="E41" s="29" t="s">
        <v>907</v>
      </c>
    </row>
    <row r="42" spans="1:5" s="3" customFormat="1">
      <c r="A42" s="26" t="s">
        <v>966</v>
      </c>
      <c r="B42" s="5" t="s">
        <v>172</v>
      </c>
      <c r="C42" s="5" t="s">
        <v>161</v>
      </c>
      <c r="D42" s="5" t="s">
        <v>965</v>
      </c>
      <c r="E42" s="30" t="s">
        <v>964</v>
      </c>
    </row>
    <row r="43" spans="1:5" s="3" customFormat="1">
      <c r="A43" s="26" t="s">
        <v>188</v>
      </c>
      <c r="B43" s="5" t="s">
        <v>172</v>
      </c>
      <c r="C43" s="5" t="s">
        <v>963</v>
      </c>
      <c r="D43" s="5" t="s">
        <v>365</v>
      </c>
      <c r="E43" s="30" t="s">
        <v>962</v>
      </c>
    </row>
  </sheetData>
  <mergeCells count="16">
    <mergeCell ref="A16:L16"/>
    <mergeCell ref="A19:L19"/>
    <mergeCell ref="K3:K4"/>
    <mergeCell ref="L3:L4"/>
    <mergeCell ref="M3:M4"/>
    <mergeCell ref="A5:L5"/>
    <mergeCell ref="A8:L8"/>
    <mergeCell ref="A13:L13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33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15.28515625" style="4" bestFit="1" customWidth="1"/>
    <col min="22" max="16384" width="9.140625" style="3"/>
  </cols>
  <sheetData>
    <row r="1" spans="1:21" s="2" customFormat="1" ht="29.1" customHeight="1">
      <c r="A1" s="46" t="s">
        <v>421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2</v>
      </c>
      <c r="H3" s="56"/>
      <c r="I3" s="56"/>
      <c r="J3" s="59"/>
      <c r="K3" s="52" t="s">
        <v>3</v>
      </c>
      <c r="L3" s="56"/>
      <c r="M3" s="56"/>
      <c r="N3" s="59"/>
      <c r="O3" s="52" t="s">
        <v>4</v>
      </c>
      <c r="P3" s="56"/>
      <c r="Q3" s="56"/>
      <c r="R3" s="59"/>
      <c r="S3" s="61" t="s">
        <v>9</v>
      </c>
      <c r="T3" s="56" t="s">
        <v>6</v>
      </c>
      <c r="U3" s="59" t="s">
        <v>5</v>
      </c>
    </row>
    <row r="4" spans="1:21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62"/>
      <c r="T4" s="55"/>
      <c r="U4" s="63"/>
    </row>
    <row r="5" spans="1:21" s="5" customFormat="1" ht="15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</row>
    <row r="6" spans="1:21" s="5" customFormat="1">
      <c r="A6" s="17" t="s">
        <v>179</v>
      </c>
      <c r="B6" s="15" t="s">
        <v>180</v>
      </c>
      <c r="C6" s="15" t="s">
        <v>181</v>
      </c>
      <c r="D6" s="15" t="str">
        <f>"0,6680"</f>
        <v>0,6680</v>
      </c>
      <c r="E6" s="17" t="s">
        <v>19</v>
      </c>
      <c r="F6" s="17" t="s">
        <v>50</v>
      </c>
      <c r="G6" s="15" t="s">
        <v>177</v>
      </c>
      <c r="H6" s="15" t="s">
        <v>249</v>
      </c>
      <c r="I6" s="15" t="s">
        <v>52</v>
      </c>
      <c r="J6" s="18"/>
      <c r="K6" s="15" t="s">
        <v>422</v>
      </c>
      <c r="L6" s="15" t="s">
        <v>215</v>
      </c>
      <c r="M6" s="15" t="s">
        <v>225</v>
      </c>
      <c r="N6" s="18"/>
      <c r="O6" s="15" t="s">
        <v>233</v>
      </c>
      <c r="P6" s="15" t="s">
        <v>177</v>
      </c>
      <c r="Q6" s="15" t="s">
        <v>27</v>
      </c>
      <c r="R6" s="18"/>
      <c r="S6" s="17" t="str">
        <f>"350,0"</f>
        <v>350,0</v>
      </c>
      <c r="T6" s="15" t="str">
        <f>"233,8000"</f>
        <v>233,8000</v>
      </c>
      <c r="U6" s="17"/>
    </row>
    <row r="7" spans="1:21" s="5" customFormat="1">
      <c r="A7" s="4"/>
      <c r="E7" s="4"/>
      <c r="F7" s="4"/>
      <c r="S7" s="4"/>
      <c r="U7" s="4"/>
    </row>
    <row r="8" spans="1:21" ht="15">
      <c r="A8" s="60" t="s">
        <v>14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1">
      <c r="A9" s="17" t="s">
        <v>344</v>
      </c>
      <c r="B9" s="15" t="s">
        <v>345</v>
      </c>
      <c r="C9" s="15" t="s">
        <v>346</v>
      </c>
      <c r="D9" s="15" t="str">
        <f>"0,8128"</f>
        <v>0,8128</v>
      </c>
      <c r="E9" s="17" t="s">
        <v>19</v>
      </c>
      <c r="F9" s="17" t="s">
        <v>50</v>
      </c>
      <c r="G9" s="18" t="s">
        <v>80</v>
      </c>
      <c r="H9" s="18" t="s">
        <v>80</v>
      </c>
      <c r="I9" s="15" t="s">
        <v>80</v>
      </c>
      <c r="J9" s="18"/>
      <c r="K9" s="15" t="s">
        <v>233</v>
      </c>
      <c r="L9" s="15" t="s">
        <v>177</v>
      </c>
      <c r="M9" s="15" t="s">
        <v>293</v>
      </c>
      <c r="N9" s="18"/>
      <c r="O9" s="18" t="s">
        <v>78</v>
      </c>
      <c r="P9" s="15" t="s">
        <v>78</v>
      </c>
      <c r="Q9" s="15" t="s">
        <v>35</v>
      </c>
      <c r="R9" s="18"/>
      <c r="S9" s="17" t="str">
        <f>"517,5"</f>
        <v>517,5</v>
      </c>
      <c r="T9" s="15" t="str">
        <f>"420,6240"</f>
        <v>420,6240</v>
      </c>
      <c r="U9" s="17"/>
    </row>
    <row r="11" spans="1:21" ht="15">
      <c r="A11" s="60" t="s">
        <v>94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</row>
    <row r="12" spans="1:21">
      <c r="A12" s="17" t="s">
        <v>424</v>
      </c>
      <c r="B12" s="15" t="s">
        <v>425</v>
      </c>
      <c r="C12" s="15" t="s">
        <v>426</v>
      </c>
      <c r="D12" s="15" t="str">
        <f>"0,5395"</f>
        <v>0,5395</v>
      </c>
      <c r="E12" s="17" t="s">
        <v>72</v>
      </c>
      <c r="F12" s="17" t="s">
        <v>64</v>
      </c>
      <c r="G12" s="15" t="s">
        <v>126</v>
      </c>
      <c r="H12" s="15" t="s">
        <v>73</v>
      </c>
      <c r="I12" s="18" t="s">
        <v>36</v>
      </c>
      <c r="J12" s="18"/>
      <c r="K12" s="15" t="s">
        <v>51</v>
      </c>
      <c r="L12" s="15" t="s">
        <v>249</v>
      </c>
      <c r="M12" s="18" t="s">
        <v>261</v>
      </c>
      <c r="N12" s="18"/>
      <c r="O12" s="15" t="s">
        <v>59</v>
      </c>
      <c r="P12" s="15" t="s">
        <v>37</v>
      </c>
      <c r="Q12" s="15" t="s">
        <v>104</v>
      </c>
      <c r="R12" s="18"/>
      <c r="S12" s="17" t="str">
        <f>"625,0"</f>
        <v>625,0</v>
      </c>
      <c r="T12" s="15" t="str">
        <f>"337,1875"</f>
        <v>337,1875</v>
      </c>
      <c r="U12" s="17" t="s">
        <v>427</v>
      </c>
    </row>
    <row r="14" spans="1:21" ht="15">
      <c r="E14" s="21" t="s">
        <v>128</v>
      </c>
    </row>
    <row r="15" spans="1:21" ht="15">
      <c r="E15" s="21" t="s">
        <v>129</v>
      </c>
    </row>
    <row r="16" spans="1:21" ht="15">
      <c r="E16" s="21" t="s">
        <v>130</v>
      </c>
    </row>
    <row r="17" spans="1:5">
      <c r="E17" s="4" t="s">
        <v>131</v>
      </c>
    </row>
    <row r="18" spans="1:5">
      <c r="E18" s="4" t="s">
        <v>132</v>
      </c>
    </row>
    <row r="19" spans="1:5">
      <c r="E19" s="4" t="s">
        <v>133</v>
      </c>
    </row>
    <row r="22" spans="1:5" ht="18">
      <c r="A22" s="22" t="s">
        <v>134</v>
      </c>
      <c r="B22" s="23"/>
    </row>
    <row r="23" spans="1:5" ht="15">
      <c r="A23" s="24" t="s">
        <v>135</v>
      </c>
      <c r="B23" s="25"/>
    </row>
    <row r="24" spans="1:5" ht="14.25">
      <c r="A24" s="27"/>
      <c r="B24" s="28" t="s">
        <v>143</v>
      </c>
    </row>
    <row r="25" spans="1:5" ht="15">
      <c r="A25" s="29" t="s">
        <v>0</v>
      </c>
      <c r="B25" s="29" t="s">
        <v>137</v>
      </c>
      <c r="C25" s="29" t="s">
        <v>138</v>
      </c>
      <c r="D25" s="29" t="s">
        <v>139</v>
      </c>
      <c r="E25" s="29" t="s">
        <v>12</v>
      </c>
    </row>
    <row r="26" spans="1:5">
      <c r="A26" s="26" t="s">
        <v>178</v>
      </c>
      <c r="B26" s="5" t="s">
        <v>143</v>
      </c>
      <c r="C26" s="5" t="s">
        <v>173</v>
      </c>
      <c r="D26" s="5" t="s">
        <v>428</v>
      </c>
      <c r="E26" s="30" t="s">
        <v>429</v>
      </c>
    </row>
    <row r="29" spans="1:5" ht="15">
      <c r="A29" s="24" t="s">
        <v>145</v>
      </c>
      <c r="B29" s="25"/>
    </row>
    <row r="30" spans="1:5" ht="14.25">
      <c r="A30" s="27"/>
      <c r="B30" s="28" t="s">
        <v>143</v>
      </c>
    </row>
    <row r="31" spans="1:5" ht="15">
      <c r="A31" s="29" t="s">
        <v>0</v>
      </c>
      <c r="B31" s="29" t="s">
        <v>137</v>
      </c>
      <c r="C31" s="29" t="s">
        <v>138</v>
      </c>
      <c r="D31" s="29" t="s">
        <v>139</v>
      </c>
      <c r="E31" s="29" t="s">
        <v>12</v>
      </c>
    </row>
    <row r="32" spans="1:5">
      <c r="A32" s="26" t="s">
        <v>343</v>
      </c>
      <c r="B32" s="5" t="s">
        <v>143</v>
      </c>
      <c r="C32" s="5" t="s">
        <v>141</v>
      </c>
      <c r="D32" s="5" t="s">
        <v>430</v>
      </c>
      <c r="E32" s="30" t="s">
        <v>431</v>
      </c>
    </row>
    <row r="33" spans="1:5">
      <c r="A33" s="26" t="s">
        <v>423</v>
      </c>
      <c r="B33" s="5" t="s">
        <v>143</v>
      </c>
      <c r="C33" s="5" t="s">
        <v>155</v>
      </c>
      <c r="D33" s="5" t="s">
        <v>432</v>
      </c>
      <c r="E33" s="30" t="s">
        <v>433</v>
      </c>
    </row>
  </sheetData>
  <mergeCells count="16">
    <mergeCell ref="A11:T11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  <mergeCell ref="A5:T5"/>
    <mergeCell ref="A8:T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59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8.710937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7" width="5.5703125" style="5" bestFit="1" customWidth="1"/>
    <col min="18" max="18" width="5" style="5" bestFit="1" customWidth="1"/>
    <col min="19" max="19" width="6.140625" style="4" bestFit="1" customWidth="1"/>
    <col min="20" max="20" width="8.5703125" style="5" bestFit="1" customWidth="1"/>
    <col min="21" max="21" width="7.42578125" style="4" bestFit="1" customWidth="1"/>
    <col min="22" max="16384" width="9.140625" style="3"/>
  </cols>
  <sheetData>
    <row r="1" spans="1:21" s="2" customFormat="1" ht="29.1" customHeight="1">
      <c r="A1" s="46" t="s">
        <v>371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8"/>
    </row>
    <row r="2" spans="1:2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1"/>
    </row>
    <row r="3" spans="1:21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2</v>
      </c>
      <c r="H3" s="56"/>
      <c r="I3" s="56"/>
      <c r="J3" s="59"/>
      <c r="K3" s="52" t="s">
        <v>3</v>
      </c>
      <c r="L3" s="56"/>
      <c r="M3" s="56"/>
      <c r="N3" s="59"/>
      <c r="O3" s="52" t="s">
        <v>4</v>
      </c>
      <c r="P3" s="56"/>
      <c r="Q3" s="56"/>
      <c r="R3" s="59"/>
      <c r="S3" s="61" t="s">
        <v>9</v>
      </c>
      <c r="T3" s="56" t="s">
        <v>6</v>
      </c>
      <c r="U3" s="59" t="s">
        <v>5</v>
      </c>
    </row>
    <row r="4" spans="1:21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">
        <v>1</v>
      </c>
      <c r="P4" s="7">
        <v>2</v>
      </c>
      <c r="Q4" s="7">
        <v>3</v>
      </c>
      <c r="R4" s="8" t="s">
        <v>7</v>
      </c>
      <c r="S4" s="62"/>
      <c r="T4" s="55"/>
      <c r="U4" s="63"/>
    </row>
    <row r="5" spans="1:21" s="5" customFormat="1" ht="15">
      <c r="A5" s="64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4"/>
    </row>
    <row r="6" spans="1:21" s="5" customFormat="1">
      <c r="A6" s="17" t="s">
        <v>25</v>
      </c>
      <c r="B6" s="15" t="s">
        <v>26</v>
      </c>
      <c r="C6" s="15" t="s">
        <v>18</v>
      </c>
      <c r="D6" s="15" t="str">
        <f>"0,8688"</f>
        <v>0,8688</v>
      </c>
      <c r="E6" s="17" t="s">
        <v>19</v>
      </c>
      <c r="F6" s="17" t="s">
        <v>20</v>
      </c>
      <c r="G6" s="15" t="s">
        <v>372</v>
      </c>
      <c r="H6" s="15" t="s">
        <v>177</v>
      </c>
      <c r="I6" s="18" t="s">
        <v>27</v>
      </c>
      <c r="J6" s="18"/>
      <c r="K6" s="15" t="s">
        <v>225</v>
      </c>
      <c r="L6" s="15" t="s">
        <v>226</v>
      </c>
      <c r="M6" s="18" t="s">
        <v>227</v>
      </c>
      <c r="N6" s="18"/>
      <c r="O6" s="15" t="s">
        <v>27</v>
      </c>
      <c r="P6" s="18" t="s">
        <v>51</v>
      </c>
      <c r="Q6" s="15" t="s">
        <v>29</v>
      </c>
      <c r="R6" s="18"/>
      <c r="S6" s="17" t="str">
        <f>"337,5"</f>
        <v>337,5</v>
      </c>
      <c r="T6" s="15" t="str">
        <f>"293,2200"</f>
        <v>293,2200</v>
      </c>
      <c r="U6" s="17"/>
    </row>
    <row r="7" spans="1:21" s="5" customFormat="1">
      <c r="A7" s="4"/>
      <c r="E7" s="4"/>
      <c r="F7" s="4"/>
      <c r="S7" s="4"/>
      <c r="U7" s="4"/>
    </row>
    <row r="8" spans="1:21" ht="15">
      <c r="A8" s="60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</row>
    <row r="9" spans="1:21">
      <c r="A9" s="9" t="s">
        <v>374</v>
      </c>
      <c r="B9" s="10" t="s">
        <v>375</v>
      </c>
      <c r="C9" s="10" t="s">
        <v>376</v>
      </c>
      <c r="D9" s="10" t="str">
        <f>"0,6774"</f>
        <v>0,6774</v>
      </c>
      <c r="E9" s="9" t="s">
        <v>19</v>
      </c>
      <c r="F9" s="9" t="s">
        <v>377</v>
      </c>
      <c r="G9" s="11" t="s">
        <v>35</v>
      </c>
      <c r="H9" s="10" t="s">
        <v>73</v>
      </c>
      <c r="I9" s="10" t="s">
        <v>92</v>
      </c>
      <c r="J9" s="11"/>
      <c r="K9" s="10" t="s">
        <v>372</v>
      </c>
      <c r="L9" s="10" t="s">
        <v>378</v>
      </c>
      <c r="M9" s="11" t="s">
        <v>182</v>
      </c>
      <c r="N9" s="11"/>
      <c r="O9" s="10" t="s">
        <v>111</v>
      </c>
      <c r="P9" s="10" t="s">
        <v>43</v>
      </c>
      <c r="Q9" s="10" t="s">
        <v>59</v>
      </c>
      <c r="R9" s="11"/>
      <c r="S9" s="9" t="str">
        <f>"572,5"</f>
        <v>572,5</v>
      </c>
      <c r="T9" s="10" t="str">
        <f>"387,8115"</f>
        <v>387,8115</v>
      </c>
      <c r="U9" s="9"/>
    </row>
    <row r="10" spans="1:21">
      <c r="A10" s="12" t="s">
        <v>47</v>
      </c>
      <c r="B10" s="13" t="s">
        <v>48</v>
      </c>
      <c r="C10" s="13" t="s">
        <v>49</v>
      </c>
      <c r="D10" s="13" t="str">
        <f>"0,6723"</f>
        <v>0,6723</v>
      </c>
      <c r="E10" s="12" t="s">
        <v>19</v>
      </c>
      <c r="F10" s="12" t="s">
        <v>50</v>
      </c>
      <c r="G10" s="13" t="s">
        <v>22</v>
      </c>
      <c r="H10" s="13" t="s">
        <v>182</v>
      </c>
      <c r="I10" s="13" t="s">
        <v>51</v>
      </c>
      <c r="J10" s="14"/>
      <c r="K10" s="13" t="s">
        <v>227</v>
      </c>
      <c r="L10" s="13" t="s">
        <v>379</v>
      </c>
      <c r="M10" s="13" t="s">
        <v>380</v>
      </c>
      <c r="N10" s="14"/>
      <c r="O10" s="14" t="s">
        <v>51</v>
      </c>
      <c r="P10" s="13" t="s">
        <v>249</v>
      </c>
      <c r="Q10" s="13" t="s">
        <v>52</v>
      </c>
      <c r="R10" s="14"/>
      <c r="S10" s="12" t="str">
        <f>"385,0"</f>
        <v>385,0</v>
      </c>
      <c r="T10" s="13" t="str">
        <f>"263,4945"</f>
        <v>263,4945</v>
      </c>
      <c r="U10" s="12"/>
    </row>
    <row r="12" spans="1:21" ht="15">
      <c r="A12" s="60" t="s">
        <v>54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</row>
    <row r="13" spans="1:21">
      <c r="A13" s="9" t="s">
        <v>56</v>
      </c>
      <c r="B13" s="10" t="s">
        <v>57</v>
      </c>
      <c r="C13" s="10" t="s">
        <v>58</v>
      </c>
      <c r="D13" s="10" t="str">
        <f>"0,6273"</f>
        <v>0,6273</v>
      </c>
      <c r="E13" s="9" t="s">
        <v>19</v>
      </c>
      <c r="F13" s="9" t="s">
        <v>20</v>
      </c>
      <c r="G13" s="10" t="s">
        <v>111</v>
      </c>
      <c r="H13" s="10" t="s">
        <v>43</v>
      </c>
      <c r="I13" s="10" t="s">
        <v>59</v>
      </c>
      <c r="J13" s="11"/>
      <c r="K13" s="10" t="s">
        <v>21</v>
      </c>
      <c r="L13" s="10" t="s">
        <v>177</v>
      </c>
      <c r="M13" s="10" t="s">
        <v>22</v>
      </c>
      <c r="N13" s="11"/>
      <c r="O13" s="10" t="s">
        <v>35</v>
      </c>
      <c r="P13" s="10" t="s">
        <v>43</v>
      </c>
      <c r="Q13" s="11" t="s">
        <v>59</v>
      </c>
      <c r="R13" s="11"/>
      <c r="S13" s="9" t="str">
        <f>"555,0"</f>
        <v>555,0</v>
      </c>
      <c r="T13" s="10" t="str">
        <f>"348,1515"</f>
        <v>348,1515</v>
      </c>
      <c r="U13" s="9"/>
    </row>
    <row r="14" spans="1:21">
      <c r="A14" s="19" t="s">
        <v>382</v>
      </c>
      <c r="B14" s="16" t="s">
        <v>383</v>
      </c>
      <c r="C14" s="16" t="s">
        <v>246</v>
      </c>
      <c r="D14" s="16" t="str">
        <f>"0,6241"</f>
        <v>0,6241</v>
      </c>
      <c r="E14" s="19" t="s">
        <v>19</v>
      </c>
      <c r="F14" s="19" t="s">
        <v>20</v>
      </c>
      <c r="G14" s="16" t="s">
        <v>35</v>
      </c>
      <c r="H14" s="16" t="s">
        <v>43</v>
      </c>
      <c r="I14" s="16" t="s">
        <v>59</v>
      </c>
      <c r="J14" s="20"/>
      <c r="K14" s="16" t="s">
        <v>51</v>
      </c>
      <c r="L14" s="16" t="s">
        <v>249</v>
      </c>
      <c r="M14" s="20" t="s">
        <v>261</v>
      </c>
      <c r="N14" s="20"/>
      <c r="O14" s="16" t="s">
        <v>43</v>
      </c>
      <c r="P14" s="16" t="s">
        <v>36</v>
      </c>
      <c r="Q14" s="16" t="s">
        <v>37</v>
      </c>
      <c r="R14" s="20"/>
      <c r="S14" s="19" t="str">
        <f>"610,0"</f>
        <v>610,0</v>
      </c>
      <c r="T14" s="16" t="str">
        <f>"380,7010"</f>
        <v>380,7010</v>
      </c>
      <c r="U14" s="19"/>
    </row>
    <row r="15" spans="1:21">
      <c r="A15" s="19" t="s">
        <v>384</v>
      </c>
      <c r="B15" s="16" t="s">
        <v>76</v>
      </c>
      <c r="C15" s="16" t="s">
        <v>77</v>
      </c>
      <c r="D15" s="16" t="str">
        <f>"0,6473"</f>
        <v>0,6473</v>
      </c>
      <c r="E15" s="19" t="s">
        <v>19</v>
      </c>
      <c r="F15" s="19" t="s">
        <v>50</v>
      </c>
      <c r="G15" s="16" t="s">
        <v>51</v>
      </c>
      <c r="H15" s="16" t="s">
        <v>249</v>
      </c>
      <c r="I15" s="16" t="s">
        <v>261</v>
      </c>
      <c r="J15" s="20"/>
      <c r="K15" s="16" t="s">
        <v>232</v>
      </c>
      <c r="L15" s="16" t="s">
        <v>233</v>
      </c>
      <c r="M15" s="16" t="s">
        <v>234</v>
      </c>
      <c r="N15" s="20"/>
      <c r="O15" s="16" t="s">
        <v>78</v>
      </c>
      <c r="P15" s="16" t="s">
        <v>79</v>
      </c>
      <c r="Q15" s="20" t="s">
        <v>80</v>
      </c>
      <c r="R15" s="20"/>
      <c r="S15" s="19" t="str">
        <f>"437,5"</f>
        <v>437,5</v>
      </c>
      <c r="T15" s="16" t="str">
        <f>"283,1938"</f>
        <v>283,1938</v>
      </c>
      <c r="U15" s="19"/>
    </row>
    <row r="16" spans="1:21">
      <c r="A16" s="12" t="s">
        <v>386</v>
      </c>
      <c r="B16" s="13" t="s">
        <v>387</v>
      </c>
      <c r="C16" s="13" t="s">
        <v>388</v>
      </c>
      <c r="D16" s="13" t="str">
        <f>"0,6352"</f>
        <v>0,6352</v>
      </c>
      <c r="E16" s="12" t="s">
        <v>19</v>
      </c>
      <c r="F16" s="12" t="s">
        <v>64</v>
      </c>
      <c r="G16" s="13" t="s">
        <v>43</v>
      </c>
      <c r="H16" s="13" t="s">
        <v>59</v>
      </c>
      <c r="I16" s="13" t="s">
        <v>92</v>
      </c>
      <c r="J16" s="14"/>
      <c r="K16" s="13" t="s">
        <v>177</v>
      </c>
      <c r="L16" s="13" t="s">
        <v>27</v>
      </c>
      <c r="M16" s="13" t="s">
        <v>51</v>
      </c>
      <c r="N16" s="14"/>
      <c r="O16" s="13" t="s">
        <v>111</v>
      </c>
      <c r="P16" s="13" t="s">
        <v>35</v>
      </c>
      <c r="Q16" s="14" t="s">
        <v>43</v>
      </c>
      <c r="R16" s="14"/>
      <c r="S16" s="12" t="str">
        <f>"570,0"</f>
        <v>570,0</v>
      </c>
      <c r="T16" s="13" t="str">
        <f>"365,3226"</f>
        <v>365,3226</v>
      </c>
      <c r="U16" s="12"/>
    </row>
    <row r="18" spans="1:21" ht="15">
      <c r="A18" s="60" t="s">
        <v>87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</row>
    <row r="19" spans="1:21">
      <c r="A19" s="9" t="s">
        <v>390</v>
      </c>
      <c r="B19" s="10" t="s">
        <v>391</v>
      </c>
      <c r="C19" s="10" t="s">
        <v>392</v>
      </c>
      <c r="D19" s="10" t="str">
        <f>"0,5543"</f>
        <v>0,5543</v>
      </c>
      <c r="E19" s="9" t="s">
        <v>19</v>
      </c>
      <c r="F19" s="9" t="s">
        <v>99</v>
      </c>
      <c r="G19" s="10" t="s">
        <v>59</v>
      </c>
      <c r="H19" s="11" t="s">
        <v>65</v>
      </c>
      <c r="I19" s="11" t="s">
        <v>65</v>
      </c>
      <c r="J19" s="11"/>
      <c r="K19" s="10" t="s">
        <v>233</v>
      </c>
      <c r="L19" s="10" t="s">
        <v>177</v>
      </c>
      <c r="M19" s="11" t="s">
        <v>22</v>
      </c>
      <c r="N19" s="11"/>
      <c r="O19" s="10" t="s">
        <v>43</v>
      </c>
      <c r="P19" s="10" t="s">
        <v>65</v>
      </c>
      <c r="Q19" s="10" t="s">
        <v>67</v>
      </c>
      <c r="R19" s="11"/>
      <c r="S19" s="9" t="str">
        <f>"590,0"</f>
        <v>590,0</v>
      </c>
      <c r="T19" s="10" t="str">
        <f>"327,0370"</f>
        <v>327,0370</v>
      </c>
      <c r="U19" s="9"/>
    </row>
    <row r="20" spans="1:21">
      <c r="A20" s="12" t="s">
        <v>393</v>
      </c>
      <c r="B20" s="13" t="s">
        <v>394</v>
      </c>
      <c r="C20" s="13" t="s">
        <v>395</v>
      </c>
      <c r="D20" s="13" t="str">
        <f>"0,5608"</f>
        <v>0,5608</v>
      </c>
      <c r="E20" s="12" t="s">
        <v>19</v>
      </c>
      <c r="F20" s="12" t="s">
        <v>396</v>
      </c>
      <c r="G20" s="13" t="s">
        <v>37</v>
      </c>
      <c r="H20" s="13" t="s">
        <v>397</v>
      </c>
      <c r="I20" s="13" t="s">
        <v>118</v>
      </c>
      <c r="J20" s="14"/>
      <c r="K20" s="13" t="s">
        <v>52</v>
      </c>
      <c r="L20" s="13" t="s">
        <v>78</v>
      </c>
      <c r="M20" s="14" t="s">
        <v>79</v>
      </c>
      <c r="N20" s="14"/>
      <c r="O20" s="14" t="s">
        <v>105</v>
      </c>
      <c r="P20" s="14"/>
      <c r="Q20" s="14"/>
      <c r="R20" s="14"/>
      <c r="S20" s="12" t="str">
        <f>"0.00"</f>
        <v>0.00</v>
      </c>
      <c r="T20" s="13" t="str">
        <f>"0,0000"</f>
        <v>0,0000</v>
      </c>
      <c r="U20" s="12"/>
    </row>
    <row r="22" spans="1:21" ht="15">
      <c r="A22" s="60" t="s">
        <v>308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</row>
    <row r="23" spans="1:21">
      <c r="A23" s="17" t="s">
        <v>399</v>
      </c>
      <c r="B23" s="15" t="s">
        <v>400</v>
      </c>
      <c r="C23" s="15" t="s">
        <v>401</v>
      </c>
      <c r="D23" s="15" t="str">
        <f>"0,5107"</f>
        <v>0,5107</v>
      </c>
      <c r="E23" s="17" t="s">
        <v>72</v>
      </c>
      <c r="F23" s="17" t="s">
        <v>64</v>
      </c>
      <c r="G23" s="15" t="s">
        <v>66</v>
      </c>
      <c r="H23" s="15" t="s">
        <v>104</v>
      </c>
      <c r="I23" s="18" t="s">
        <v>402</v>
      </c>
      <c r="J23" s="18"/>
      <c r="K23" s="15" t="s">
        <v>80</v>
      </c>
      <c r="L23" s="15" t="s">
        <v>125</v>
      </c>
      <c r="M23" s="15" t="s">
        <v>35</v>
      </c>
      <c r="N23" s="18"/>
      <c r="O23" s="15" t="s">
        <v>37</v>
      </c>
      <c r="P23" s="15" t="s">
        <v>67</v>
      </c>
      <c r="Q23" s="15" t="s">
        <v>104</v>
      </c>
      <c r="R23" s="18"/>
      <c r="S23" s="17" t="str">
        <f>"720,0"</f>
        <v>720,0</v>
      </c>
      <c r="T23" s="15" t="str">
        <f>"385,3538"</f>
        <v>385,3538</v>
      </c>
      <c r="U23" s="17"/>
    </row>
    <row r="25" spans="1:21" ht="15">
      <c r="E25" s="21" t="s">
        <v>128</v>
      </c>
    </row>
    <row r="26" spans="1:21" ht="15">
      <c r="E26" s="21" t="s">
        <v>129</v>
      </c>
    </row>
    <row r="27" spans="1:21" ht="15">
      <c r="E27" s="21" t="s">
        <v>130</v>
      </c>
    </row>
    <row r="28" spans="1:21">
      <c r="E28" s="4" t="s">
        <v>131</v>
      </c>
    </row>
    <row r="29" spans="1:21">
      <c r="E29" s="4" t="s">
        <v>132</v>
      </c>
    </row>
    <row r="30" spans="1:21">
      <c r="E30" s="4" t="s">
        <v>133</v>
      </c>
    </row>
    <row r="33" spans="1:5" ht="18">
      <c r="A33" s="22" t="s">
        <v>134</v>
      </c>
      <c r="B33" s="23"/>
    </row>
    <row r="34" spans="1:5" ht="15">
      <c r="A34" s="24" t="s">
        <v>135</v>
      </c>
      <c r="B34" s="25"/>
    </row>
    <row r="35" spans="1:5" ht="14.25">
      <c r="A35" s="27"/>
      <c r="B35" s="28" t="s">
        <v>143</v>
      </c>
    </row>
    <row r="36" spans="1:5" ht="15">
      <c r="A36" s="29" t="s">
        <v>0</v>
      </c>
      <c r="B36" s="29" t="s">
        <v>137</v>
      </c>
      <c r="C36" s="29" t="s">
        <v>138</v>
      </c>
      <c r="D36" s="29" t="s">
        <v>139</v>
      </c>
      <c r="E36" s="29" t="s">
        <v>12</v>
      </c>
    </row>
    <row r="37" spans="1:5">
      <c r="A37" s="26" t="s">
        <v>24</v>
      </c>
      <c r="B37" s="5" t="s">
        <v>143</v>
      </c>
      <c r="C37" s="5" t="s">
        <v>141</v>
      </c>
      <c r="D37" s="5" t="s">
        <v>403</v>
      </c>
      <c r="E37" s="30" t="s">
        <v>404</v>
      </c>
    </row>
    <row r="40" spans="1:5" ht="15">
      <c r="A40" s="24" t="s">
        <v>145</v>
      </c>
      <c r="B40" s="25"/>
    </row>
    <row r="41" spans="1:5" ht="14.25">
      <c r="A41" s="27"/>
      <c r="B41" s="28" t="s">
        <v>136</v>
      </c>
    </row>
    <row r="42" spans="1:5" ht="15">
      <c r="A42" s="29" t="s">
        <v>0</v>
      </c>
      <c r="B42" s="29" t="s">
        <v>137</v>
      </c>
      <c r="C42" s="29" t="s">
        <v>138</v>
      </c>
      <c r="D42" s="29" t="s">
        <v>139</v>
      </c>
      <c r="E42" s="29" t="s">
        <v>12</v>
      </c>
    </row>
    <row r="43" spans="1:5">
      <c r="A43" s="26" t="s">
        <v>55</v>
      </c>
      <c r="B43" s="5" t="s">
        <v>146</v>
      </c>
      <c r="C43" s="5" t="s">
        <v>147</v>
      </c>
      <c r="D43" s="5" t="s">
        <v>405</v>
      </c>
      <c r="E43" s="30" t="s">
        <v>406</v>
      </c>
    </row>
    <row r="45" spans="1:5" ht="14.25">
      <c r="A45" s="27"/>
      <c r="B45" s="28" t="s">
        <v>149</v>
      </c>
    </row>
    <row r="46" spans="1:5" ht="15">
      <c r="A46" s="29" t="s">
        <v>0</v>
      </c>
      <c r="B46" s="29" t="s">
        <v>137</v>
      </c>
      <c r="C46" s="29" t="s">
        <v>138</v>
      </c>
      <c r="D46" s="29" t="s">
        <v>139</v>
      </c>
      <c r="E46" s="29" t="s">
        <v>12</v>
      </c>
    </row>
    <row r="47" spans="1:5">
      <c r="A47" s="26" t="s">
        <v>373</v>
      </c>
      <c r="B47" s="5" t="s">
        <v>150</v>
      </c>
      <c r="C47" s="5" t="s">
        <v>173</v>
      </c>
      <c r="D47" s="5" t="s">
        <v>407</v>
      </c>
      <c r="E47" s="30" t="s">
        <v>408</v>
      </c>
    </row>
    <row r="49" spans="1:5" ht="14.25">
      <c r="A49" s="27"/>
      <c r="B49" s="28" t="s">
        <v>143</v>
      </c>
    </row>
    <row r="50" spans="1:5" ht="15">
      <c r="A50" s="29" t="s">
        <v>0</v>
      </c>
      <c r="B50" s="29" t="s">
        <v>137</v>
      </c>
      <c r="C50" s="29" t="s">
        <v>138</v>
      </c>
      <c r="D50" s="29" t="s">
        <v>139</v>
      </c>
      <c r="E50" s="29" t="s">
        <v>12</v>
      </c>
    </row>
    <row r="51" spans="1:5">
      <c r="A51" s="26" t="s">
        <v>381</v>
      </c>
      <c r="B51" s="5" t="s">
        <v>143</v>
      </c>
      <c r="C51" s="5" t="s">
        <v>147</v>
      </c>
      <c r="D51" s="5" t="s">
        <v>409</v>
      </c>
      <c r="E51" s="30" t="s">
        <v>410</v>
      </c>
    </row>
    <row r="52" spans="1:5">
      <c r="A52" s="26" t="s">
        <v>389</v>
      </c>
      <c r="B52" s="5" t="s">
        <v>143</v>
      </c>
      <c r="C52" s="5" t="s">
        <v>161</v>
      </c>
      <c r="D52" s="5" t="s">
        <v>411</v>
      </c>
      <c r="E52" s="30" t="s">
        <v>412</v>
      </c>
    </row>
    <row r="53" spans="1:5">
      <c r="A53" s="26" t="s">
        <v>74</v>
      </c>
      <c r="B53" s="5" t="s">
        <v>143</v>
      </c>
      <c r="C53" s="5" t="s">
        <v>147</v>
      </c>
      <c r="D53" s="5" t="s">
        <v>413</v>
      </c>
      <c r="E53" s="30" t="s">
        <v>414</v>
      </c>
    </row>
    <row r="55" spans="1:5" ht="14.25">
      <c r="A55" s="27"/>
      <c r="B55" s="28" t="s">
        <v>164</v>
      </c>
    </row>
    <row r="56" spans="1:5" ht="15">
      <c r="A56" s="29" t="s">
        <v>0</v>
      </c>
      <c r="B56" s="29" t="s">
        <v>137</v>
      </c>
      <c r="C56" s="29" t="s">
        <v>138</v>
      </c>
      <c r="D56" s="29" t="s">
        <v>139</v>
      </c>
      <c r="E56" s="29" t="s">
        <v>12</v>
      </c>
    </row>
    <row r="57" spans="1:5">
      <c r="A57" s="26" t="s">
        <v>398</v>
      </c>
      <c r="B57" s="5" t="s">
        <v>339</v>
      </c>
      <c r="C57" s="5" t="s">
        <v>323</v>
      </c>
      <c r="D57" s="5" t="s">
        <v>415</v>
      </c>
      <c r="E57" s="30" t="s">
        <v>416</v>
      </c>
    </row>
    <row r="58" spans="1:5">
      <c r="A58" s="26" t="s">
        <v>385</v>
      </c>
      <c r="B58" s="5" t="s">
        <v>172</v>
      </c>
      <c r="C58" s="5" t="s">
        <v>147</v>
      </c>
      <c r="D58" s="5" t="s">
        <v>417</v>
      </c>
      <c r="E58" s="30" t="s">
        <v>418</v>
      </c>
    </row>
    <row r="59" spans="1:5">
      <c r="A59" s="26" t="s">
        <v>46</v>
      </c>
      <c r="B59" s="5" t="s">
        <v>172</v>
      </c>
      <c r="C59" s="5" t="s">
        <v>173</v>
      </c>
      <c r="D59" s="5" t="s">
        <v>419</v>
      </c>
      <c r="E59" s="30" t="s">
        <v>420</v>
      </c>
    </row>
  </sheetData>
  <mergeCells count="18"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  <mergeCell ref="A18:T18"/>
    <mergeCell ref="A22:T22"/>
    <mergeCell ref="S3:S4"/>
    <mergeCell ref="T3:T4"/>
    <mergeCell ref="U3:U4"/>
    <mergeCell ref="A5:T5"/>
    <mergeCell ref="A8:T8"/>
    <mergeCell ref="A12:T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5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10" width="5.570312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348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112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350</v>
      </c>
      <c r="B6" s="15" t="s">
        <v>351</v>
      </c>
      <c r="C6" s="15" t="s">
        <v>352</v>
      </c>
      <c r="D6" s="15" t="str">
        <f>"0,5317"</f>
        <v>0,5317</v>
      </c>
      <c r="E6" s="17" t="s">
        <v>19</v>
      </c>
      <c r="F6" s="17" t="s">
        <v>99</v>
      </c>
      <c r="G6" s="15" t="s">
        <v>65</v>
      </c>
      <c r="H6" s="18" t="s">
        <v>105</v>
      </c>
      <c r="I6" s="18" t="s">
        <v>106</v>
      </c>
      <c r="J6" s="18"/>
      <c r="K6" s="17" t="str">
        <f>"235,0"</f>
        <v>235,0</v>
      </c>
      <c r="L6" s="15" t="str">
        <f>"124,9495"</f>
        <v>124,9495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308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354</v>
      </c>
      <c r="B9" s="15" t="s">
        <v>355</v>
      </c>
      <c r="C9" s="15" t="s">
        <v>356</v>
      </c>
      <c r="D9" s="15" t="str">
        <f>"0,5154"</f>
        <v>0,5154</v>
      </c>
      <c r="E9" s="17" t="s">
        <v>19</v>
      </c>
      <c r="F9" s="17" t="s">
        <v>99</v>
      </c>
      <c r="G9" s="15" t="s">
        <v>67</v>
      </c>
      <c r="H9" s="15" t="s">
        <v>357</v>
      </c>
      <c r="I9" s="15" t="s">
        <v>358</v>
      </c>
      <c r="J9" s="15" t="s">
        <v>359</v>
      </c>
      <c r="K9" s="17" t="str">
        <f>"285,0"</f>
        <v>285,0</v>
      </c>
      <c r="L9" s="15" t="str">
        <f>"146,8890"</f>
        <v>146,8890</v>
      </c>
      <c r="M9" s="17"/>
    </row>
    <row r="11" spans="1:13" ht="15">
      <c r="A11" s="60" t="s">
        <v>360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3">
      <c r="A12" s="17" t="s">
        <v>362</v>
      </c>
      <c r="B12" s="15" t="s">
        <v>363</v>
      </c>
      <c r="C12" s="15" t="s">
        <v>364</v>
      </c>
      <c r="D12" s="15" t="str">
        <f>"0,4952"</f>
        <v>0,4952</v>
      </c>
      <c r="E12" s="17" t="s">
        <v>19</v>
      </c>
      <c r="F12" s="17" t="s">
        <v>99</v>
      </c>
      <c r="G12" s="15" t="s">
        <v>36</v>
      </c>
      <c r="H12" s="18" t="s">
        <v>105</v>
      </c>
      <c r="I12" s="18" t="s">
        <v>105</v>
      </c>
      <c r="J12" s="18"/>
      <c r="K12" s="17" t="str">
        <f>"225,0"</f>
        <v>225,0</v>
      </c>
      <c r="L12" s="15" t="str">
        <f>"112,4228"</f>
        <v>112,4228</v>
      </c>
      <c r="M12" s="17"/>
    </row>
    <row r="14" spans="1:13" ht="15">
      <c r="A14" s="60" t="s">
        <v>187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3">
      <c r="A15" s="17" t="s">
        <v>189</v>
      </c>
      <c r="B15" s="15" t="s">
        <v>195</v>
      </c>
      <c r="C15" s="15" t="s">
        <v>191</v>
      </c>
      <c r="D15" s="15" t="str">
        <f>"0,4845"</f>
        <v>0,4845</v>
      </c>
      <c r="E15" s="17" t="s">
        <v>19</v>
      </c>
      <c r="F15" s="17" t="s">
        <v>192</v>
      </c>
      <c r="G15" s="15" t="s">
        <v>118</v>
      </c>
      <c r="H15" s="15" t="s">
        <v>365</v>
      </c>
      <c r="I15" s="18"/>
      <c r="J15" s="18"/>
      <c r="K15" s="17" t="str">
        <f>"290,0"</f>
        <v>290,0</v>
      </c>
      <c r="L15" s="15" t="str">
        <f>"144,8607"</f>
        <v>144,8607</v>
      </c>
      <c r="M15" s="17"/>
    </row>
    <row r="17" spans="1:5" ht="15">
      <c r="E17" s="21" t="s">
        <v>128</v>
      </c>
    </row>
    <row r="18" spans="1:5" ht="15">
      <c r="E18" s="21" t="s">
        <v>129</v>
      </c>
    </row>
    <row r="19" spans="1:5" ht="15">
      <c r="E19" s="21" t="s">
        <v>130</v>
      </c>
    </row>
    <row r="20" spans="1:5">
      <c r="E20" s="4" t="s">
        <v>131</v>
      </c>
    </row>
    <row r="21" spans="1:5">
      <c r="E21" s="4" t="s">
        <v>132</v>
      </c>
    </row>
    <row r="22" spans="1:5">
      <c r="E22" s="4" t="s">
        <v>133</v>
      </c>
    </row>
    <row r="25" spans="1:5" ht="18">
      <c r="A25" s="22" t="s">
        <v>134</v>
      </c>
      <c r="B25" s="23"/>
    </row>
    <row r="26" spans="1:5" ht="15">
      <c r="A26" s="24" t="s">
        <v>145</v>
      </c>
      <c r="B26" s="25"/>
    </row>
    <row r="27" spans="1:5" ht="14.25">
      <c r="A27" s="27"/>
      <c r="B27" s="28" t="s">
        <v>143</v>
      </c>
    </row>
    <row r="28" spans="1:5" ht="15">
      <c r="A28" s="29" t="s">
        <v>0</v>
      </c>
      <c r="B28" s="29" t="s">
        <v>137</v>
      </c>
      <c r="C28" s="29" t="s">
        <v>138</v>
      </c>
      <c r="D28" s="29" t="s">
        <v>139</v>
      </c>
      <c r="E28" s="29" t="s">
        <v>12</v>
      </c>
    </row>
    <row r="29" spans="1:5">
      <c r="A29" s="26" t="s">
        <v>353</v>
      </c>
      <c r="B29" s="5" t="s">
        <v>143</v>
      </c>
      <c r="C29" s="5" t="s">
        <v>323</v>
      </c>
      <c r="D29" s="5" t="s">
        <v>358</v>
      </c>
      <c r="E29" s="30" t="s">
        <v>366</v>
      </c>
    </row>
    <row r="30" spans="1:5">
      <c r="A30" s="26" t="s">
        <v>349</v>
      </c>
      <c r="B30" s="5" t="s">
        <v>143</v>
      </c>
      <c r="C30" s="5" t="s">
        <v>153</v>
      </c>
      <c r="D30" s="5" t="s">
        <v>65</v>
      </c>
      <c r="E30" s="30" t="s">
        <v>367</v>
      </c>
    </row>
    <row r="32" spans="1:5" ht="14.25">
      <c r="A32" s="27"/>
      <c r="B32" s="28" t="s">
        <v>164</v>
      </c>
    </row>
    <row r="33" spans="1:5" ht="15">
      <c r="A33" s="29" t="s">
        <v>0</v>
      </c>
      <c r="B33" s="29" t="s">
        <v>137</v>
      </c>
      <c r="C33" s="29" t="s">
        <v>138</v>
      </c>
      <c r="D33" s="29" t="s">
        <v>139</v>
      </c>
      <c r="E33" s="29" t="s">
        <v>12</v>
      </c>
    </row>
    <row r="34" spans="1:5">
      <c r="A34" s="26" t="s">
        <v>188</v>
      </c>
      <c r="B34" s="5" t="s">
        <v>172</v>
      </c>
      <c r="C34" s="5" t="s">
        <v>198</v>
      </c>
      <c r="D34" s="5" t="s">
        <v>365</v>
      </c>
      <c r="E34" s="30" t="s">
        <v>368</v>
      </c>
    </row>
    <row r="35" spans="1:5">
      <c r="A35" s="26" t="s">
        <v>361</v>
      </c>
      <c r="B35" s="5" t="s">
        <v>172</v>
      </c>
      <c r="C35" s="5" t="s">
        <v>369</v>
      </c>
      <c r="D35" s="5" t="s">
        <v>36</v>
      </c>
      <c r="E35" s="30" t="s">
        <v>370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8" width="5.5703125" style="5" bestFit="1" customWidth="1"/>
    <col min="9" max="9" width="2.1406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342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344</v>
      </c>
      <c r="B6" s="15" t="s">
        <v>345</v>
      </c>
      <c r="C6" s="15" t="s">
        <v>346</v>
      </c>
      <c r="D6" s="15" t="str">
        <f>"0,8128"</f>
        <v>0,8128</v>
      </c>
      <c r="E6" s="17" t="s">
        <v>19</v>
      </c>
      <c r="F6" s="17" t="s">
        <v>50</v>
      </c>
      <c r="G6" s="15" t="s">
        <v>177</v>
      </c>
      <c r="H6" s="15" t="s">
        <v>22</v>
      </c>
      <c r="I6" s="18"/>
      <c r="J6" s="18"/>
      <c r="K6" s="17" t="str">
        <f>"125,0"</f>
        <v>125,0</v>
      </c>
      <c r="L6" s="15" t="str">
        <f>"101,6000"</f>
        <v>101,6000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E8" s="21" t="s">
        <v>128</v>
      </c>
    </row>
    <row r="9" spans="1:13" ht="15">
      <c r="E9" s="21" t="s">
        <v>129</v>
      </c>
    </row>
    <row r="10" spans="1:13" ht="15">
      <c r="E10" s="21" t="s">
        <v>130</v>
      </c>
    </row>
    <row r="11" spans="1:13">
      <c r="E11" s="4" t="s">
        <v>131</v>
      </c>
    </row>
    <row r="12" spans="1:13">
      <c r="E12" s="4" t="s">
        <v>132</v>
      </c>
    </row>
    <row r="13" spans="1:13">
      <c r="E13" s="4" t="s">
        <v>133</v>
      </c>
    </row>
    <row r="16" spans="1:13" ht="18">
      <c r="A16" s="22" t="s">
        <v>134</v>
      </c>
      <c r="B16" s="23"/>
    </row>
    <row r="17" spans="1:5" ht="15">
      <c r="A17" s="24" t="s">
        <v>145</v>
      </c>
      <c r="B17" s="25"/>
    </row>
    <row r="18" spans="1:5" ht="14.25">
      <c r="A18" s="27"/>
      <c r="B18" s="28" t="s">
        <v>143</v>
      </c>
    </row>
    <row r="19" spans="1:5" ht="15">
      <c r="A19" s="29" t="s">
        <v>0</v>
      </c>
      <c r="B19" s="29" t="s">
        <v>137</v>
      </c>
      <c r="C19" s="29" t="s">
        <v>138</v>
      </c>
      <c r="D19" s="29" t="s">
        <v>139</v>
      </c>
      <c r="E19" s="29" t="s">
        <v>12</v>
      </c>
    </row>
    <row r="20" spans="1:5">
      <c r="A20" s="26" t="s">
        <v>343</v>
      </c>
      <c r="B20" s="5" t="s">
        <v>143</v>
      </c>
      <c r="C20" s="5" t="s">
        <v>141</v>
      </c>
      <c r="D20" s="5" t="s">
        <v>22</v>
      </c>
      <c r="E20" s="30" t="s">
        <v>347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99"/>
  <sheetViews>
    <sheetView topLeftCell="A29" workbookViewId="0">
      <selection sqref="A1:U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0.140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208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209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211</v>
      </c>
      <c r="B6" s="15" t="s">
        <v>212</v>
      </c>
      <c r="C6" s="15" t="s">
        <v>213</v>
      </c>
      <c r="D6" s="15" t="str">
        <f>"0,9968"</f>
        <v>0,9968</v>
      </c>
      <c r="E6" s="17" t="s">
        <v>19</v>
      </c>
      <c r="F6" s="17" t="s">
        <v>64</v>
      </c>
      <c r="G6" s="15" t="s">
        <v>214</v>
      </c>
      <c r="H6" s="15" t="s">
        <v>215</v>
      </c>
      <c r="I6" s="15" t="s">
        <v>216</v>
      </c>
      <c r="J6" s="18"/>
      <c r="K6" s="17" t="str">
        <f>"52,5"</f>
        <v>52,5</v>
      </c>
      <c r="L6" s="15" t="str">
        <f>"52,3320"</f>
        <v>52,3320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217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219</v>
      </c>
      <c r="B9" s="15" t="s">
        <v>220</v>
      </c>
      <c r="C9" s="15" t="s">
        <v>221</v>
      </c>
      <c r="D9" s="15" t="str">
        <f>"0,9277"</f>
        <v>0,9277</v>
      </c>
      <c r="E9" s="17" t="s">
        <v>72</v>
      </c>
      <c r="F9" s="17" t="s">
        <v>64</v>
      </c>
      <c r="G9" s="15" t="s">
        <v>222</v>
      </c>
      <c r="H9" s="15" t="s">
        <v>223</v>
      </c>
      <c r="I9" s="18" t="s">
        <v>224</v>
      </c>
      <c r="J9" s="18"/>
      <c r="K9" s="17" t="str">
        <f>"32,5"</f>
        <v>32,5</v>
      </c>
      <c r="L9" s="15" t="str">
        <f>"30,1502"</f>
        <v>30,1502</v>
      </c>
      <c r="M9" s="17"/>
    </row>
    <row r="11" spans="1:13" ht="15">
      <c r="A11" s="60" t="s">
        <v>14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3">
      <c r="A12" s="17" t="s">
        <v>25</v>
      </c>
      <c r="B12" s="15" t="s">
        <v>26</v>
      </c>
      <c r="C12" s="15" t="s">
        <v>18</v>
      </c>
      <c r="D12" s="15" t="str">
        <f>"0,8688"</f>
        <v>0,8688</v>
      </c>
      <c r="E12" s="17" t="s">
        <v>19</v>
      </c>
      <c r="F12" s="17" t="s">
        <v>20</v>
      </c>
      <c r="G12" s="15" t="s">
        <v>225</v>
      </c>
      <c r="H12" s="15" t="s">
        <v>226</v>
      </c>
      <c r="I12" s="15" t="s">
        <v>227</v>
      </c>
      <c r="J12" s="18"/>
      <c r="K12" s="17" t="str">
        <f>"75,0"</f>
        <v>75,0</v>
      </c>
      <c r="L12" s="15" t="str">
        <f>"65,1600"</f>
        <v>65,1600</v>
      </c>
      <c r="M12" s="17"/>
    </row>
    <row r="14" spans="1:13" ht="15">
      <c r="A14" s="60" t="s">
        <v>30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3">
      <c r="A15" s="17" t="s">
        <v>229</v>
      </c>
      <c r="B15" s="15" t="s">
        <v>230</v>
      </c>
      <c r="C15" s="15" t="s">
        <v>231</v>
      </c>
      <c r="D15" s="15" t="str">
        <f>"0,7867"</f>
        <v>0,7867</v>
      </c>
      <c r="E15" s="17" t="s">
        <v>72</v>
      </c>
      <c r="F15" s="17" t="s">
        <v>64</v>
      </c>
      <c r="G15" s="15" t="s">
        <v>232</v>
      </c>
      <c r="H15" s="15" t="s">
        <v>233</v>
      </c>
      <c r="I15" s="15" t="s">
        <v>234</v>
      </c>
      <c r="J15" s="18"/>
      <c r="K15" s="17" t="str">
        <f>"102,5"</f>
        <v>102,5</v>
      </c>
      <c r="L15" s="15" t="str">
        <f>"80,6368"</f>
        <v>80,6368</v>
      </c>
      <c r="M15" s="17"/>
    </row>
    <row r="17" spans="1:13" ht="15">
      <c r="A17" s="60" t="s">
        <v>30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3">
      <c r="A18" s="17" t="s">
        <v>32</v>
      </c>
      <c r="B18" s="15" t="s">
        <v>33</v>
      </c>
      <c r="C18" s="15" t="s">
        <v>34</v>
      </c>
      <c r="D18" s="15" t="str">
        <f>"0,7278"</f>
        <v>0,7278</v>
      </c>
      <c r="E18" s="17" t="s">
        <v>19</v>
      </c>
      <c r="F18" s="17" t="s">
        <v>20</v>
      </c>
      <c r="G18" s="15" t="s">
        <v>235</v>
      </c>
      <c r="H18" s="15" t="s">
        <v>236</v>
      </c>
      <c r="I18" s="18" t="s">
        <v>177</v>
      </c>
      <c r="J18" s="18"/>
      <c r="K18" s="17" t="str">
        <f>"112,5"</f>
        <v>112,5</v>
      </c>
      <c r="L18" s="15" t="str">
        <f>"81,8775"</f>
        <v>81,8775</v>
      </c>
      <c r="M18" s="17"/>
    </row>
    <row r="20" spans="1:13" ht="15">
      <c r="A20" s="60" t="s">
        <v>54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3">
      <c r="A21" s="9" t="s">
        <v>238</v>
      </c>
      <c r="B21" s="10" t="s">
        <v>239</v>
      </c>
      <c r="C21" s="10" t="s">
        <v>240</v>
      </c>
      <c r="D21" s="10" t="str">
        <f>"0,6251"</f>
        <v>0,6251</v>
      </c>
      <c r="E21" s="9" t="s">
        <v>241</v>
      </c>
      <c r="F21" s="9" t="s">
        <v>242</v>
      </c>
      <c r="G21" s="10" t="s">
        <v>233</v>
      </c>
      <c r="H21" s="10" t="s">
        <v>22</v>
      </c>
      <c r="I21" s="10" t="s">
        <v>27</v>
      </c>
      <c r="J21" s="11"/>
      <c r="K21" s="9" t="str">
        <f>"130,0"</f>
        <v>130,0</v>
      </c>
      <c r="L21" s="10" t="str">
        <f>"81,2630"</f>
        <v>81,2630</v>
      </c>
      <c r="M21" s="9"/>
    </row>
    <row r="22" spans="1:13">
      <c r="A22" s="12" t="s">
        <v>244</v>
      </c>
      <c r="B22" s="13" t="s">
        <v>245</v>
      </c>
      <c r="C22" s="13" t="s">
        <v>246</v>
      </c>
      <c r="D22" s="13" t="str">
        <f>"0,6241"</f>
        <v>0,6241</v>
      </c>
      <c r="E22" s="12" t="s">
        <v>19</v>
      </c>
      <c r="F22" s="12" t="s">
        <v>247</v>
      </c>
      <c r="G22" s="13" t="s">
        <v>248</v>
      </c>
      <c r="H22" s="13" t="s">
        <v>249</v>
      </c>
      <c r="I22" s="13" t="s">
        <v>250</v>
      </c>
      <c r="J22" s="14"/>
      <c r="K22" s="12" t="str">
        <f>"157,5"</f>
        <v>157,5</v>
      </c>
      <c r="L22" s="13" t="str">
        <f>"101,3429"</f>
        <v>101,3429</v>
      </c>
      <c r="M22" s="12"/>
    </row>
    <row r="24" spans="1:13" ht="15">
      <c r="A24" s="60" t="s">
        <v>81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</row>
    <row r="25" spans="1:13">
      <c r="A25" s="9" t="s">
        <v>252</v>
      </c>
      <c r="B25" s="10" t="s">
        <v>253</v>
      </c>
      <c r="C25" s="10" t="s">
        <v>254</v>
      </c>
      <c r="D25" s="10" t="str">
        <f>"0,5873"</f>
        <v>0,5873</v>
      </c>
      <c r="E25" s="9" t="s">
        <v>19</v>
      </c>
      <c r="F25" s="9" t="s">
        <v>255</v>
      </c>
      <c r="G25" s="11" t="s">
        <v>35</v>
      </c>
      <c r="H25" s="10" t="s">
        <v>35</v>
      </c>
      <c r="I25" s="11" t="s">
        <v>126</v>
      </c>
      <c r="J25" s="11"/>
      <c r="K25" s="9" t="str">
        <f>"200,0"</f>
        <v>200,0</v>
      </c>
      <c r="L25" s="10" t="str">
        <f>"117,4600"</f>
        <v>117,4600</v>
      </c>
      <c r="M25" s="9"/>
    </row>
    <row r="26" spans="1:13">
      <c r="A26" s="19" t="s">
        <v>184</v>
      </c>
      <c r="B26" s="16" t="s">
        <v>185</v>
      </c>
      <c r="C26" s="16" t="s">
        <v>186</v>
      </c>
      <c r="D26" s="16" t="str">
        <f>"0,5881"</f>
        <v>0,5881</v>
      </c>
      <c r="E26" s="19" t="s">
        <v>19</v>
      </c>
      <c r="F26" s="19" t="s">
        <v>20</v>
      </c>
      <c r="G26" s="16" t="s">
        <v>52</v>
      </c>
      <c r="H26" s="16" t="s">
        <v>79</v>
      </c>
      <c r="I26" s="20" t="s">
        <v>80</v>
      </c>
      <c r="J26" s="20"/>
      <c r="K26" s="19" t="str">
        <f>"180,0"</f>
        <v>180,0</v>
      </c>
      <c r="L26" s="16" t="str">
        <f>"107,7634"</f>
        <v>107,7634</v>
      </c>
      <c r="M26" s="19"/>
    </row>
    <row r="27" spans="1:13">
      <c r="A27" s="19" t="s">
        <v>257</v>
      </c>
      <c r="B27" s="16" t="s">
        <v>258</v>
      </c>
      <c r="C27" s="16" t="s">
        <v>259</v>
      </c>
      <c r="D27" s="16" t="str">
        <f>"0,5877"</f>
        <v>0,5877</v>
      </c>
      <c r="E27" s="19" t="s">
        <v>19</v>
      </c>
      <c r="F27" s="19" t="s">
        <v>260</v>
      </c>
      <c r="G27" s="16" t="s">
        <v>51</v>
      </c>
      <c r="H27" s="16" t="s">
        <v>249</v>
      </c>
      <c r="I27" s="20" t="s">
        <v>261</v>
      </c>
      <c r="J27" s="20"/>
      <c r="K27" s="19" t="str">
        <f>"150,0"</f>
        <v>150,0</v>
      </c>
      <c r="L27" s="16" t="str">
        <f>"103,4058"</f>
        <v>103,4058</v>
      </c>
      <c r="M27" s="19"/>
    </row>
    <row r="28" spans="1:13">
      <c r="A28" s="12" t="s">
        <v>83</v>
      </c>
      <c r="B28" s="13" t="s">
        <v>84</v>
      </c>
      <c r="C28" s="13" t="s">
        <v>85</v>
      </c>
      <c r="D28" s="13" t="str">
        <f>"0,5922"</f>
        <v>0,5922</v>
      </c>
      <c r="E28" s="12" t="s">
        <v>19</v>
      </c>
      <c r="F28" s="12" t="s">
        <v>86</v>
      </c>
      <c r="G28" s="13" t="s">
        <v>21</v>
      </c>
      <c r="H28" s="13" t="s">
        <v>22</v>
      </c>
      <c r="I28" s="13" t="s">
        <v>27</v>
      </c>
      <c r="J28" s="14"/>
      <c r="K28" s="12" t="str">
        <f>"130,0"</f>
        <v>130,0</v>
      </c>
      <c r="L28" s="13" t="str">
        <f>"160,1309"</f>
        <v>160,1309</v>
      </c>
      <c r="M28" s="12"/>
    </row>
    <row r="30" spans="1:13" ht="15">
      <c r="A30" s="60" t="s">
        <v>87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13">
      <c r="A31" s="9" t="s">
        <v>263</v>
      </c>
      <c r="B31" s="10" t="s">
        <v>264</v>
      </c>
      <c r="C31" s="10" t="s">
        <v>265</v>
      </c>
      <c r="D31" s="10" t="str">
        <f>"0,5578"</f>
        <v>0,5578</v>
      </c>
      <c r="E31" s="9" t="s">
        <v>19</v>
      </c>
      <c r="F31" s="9" t="s">
        <v>64</v>
      </c>
      <c r="G31" s="10" t="s">
        <v>35</v>
      </c>
      <c r="H31" s="11" t="s">
        <v>126</v>
      </c>
      <c r="I31" s="11" t="s">
        <v>126</v>
      </c>
      <c r="J31" s="11"/>
      <c r="K31" s="9" t="str">
        <f>"200,0"</f>
        <v>200,0</v>
      </c>
      <c r="L31" s="10" t="str">
        <f>"111,5600"</f>
        <v>111,5600</v>
      </c>
      <c r="M31" s="9"/>
    </row>
    <row r="32" spans="1:13">
      <c r="A32" s="19" t="s">
        <v>267</v>
      </c>
      <c r="B32" s="16" t="s">
        <v>268</v>
      </c>
      <c r="C32" s="16" t="s">
        <v>269</v>
      </c>
      <c r="D32" s="16" t="str">
        <f>"0,5758"</f>
        <v>0,5758</v>
      </c>
      <c r="E32" s="19" t="s">
        <v>19</v>
      </c>
      <c r="F32" s="19" t="s">
        <v>270</v>
      </c>
      <c r="G32" s="16" t="s">
        <v>52</v>
      </c>
      <c r="H32" s="16" t="s">
        <v>78</v>
      </c>
      <c r="I32" s="16" t="s">
        <v>79</v>
      </c>
      <c r="J32" s="20"/>
      <c r="K32" s="19" t="str">
        <f>"180,0"</f>
        <v>180,0</v>
      </c>
      <c r="L32" s="16" t="str">
        <f>"103,6440"</f>
        <v>103,6440</v>
      </c>
      <c r="M32" s="19"/>
    </row>
    <row r="33" spans="1:13">
      <c r="A33" s="12" t="s">
        <v>272</v>
      </c>
      <c r="B33" s="13" t="s">
        <v>273</v>
      </c>
      <c r="C33" s="13" t="s">
        <v>274</v>
      </c>
      <c r="D33" s="13" t="str">
        <f>"0,5605"</f>
        <v>0,5605</v>
      </c>
      <c r="E33" s="12" t="s">
        <v>19</v>
      </c>
      <c r="F33" s="12" t="s">
        <v>20</v>
      </c>
      <c r="G33" s="13" t="s">
        <v>249</v>
      </c>
      <c r="H33" s="13" t="s">
        <v>52</v>
      </c>
      <c r="I33" s="14" t="s">
        <v>78</v>
      </c>
      <c r="J33" s="14"/>
      <c r="K33" s="12" t="str">
        <f>"160,0"</f>
        <v>160,0</v>
      </c>
      <c r="L33" s="13" t="str">
        <f>"123,7584"</f>
        <v>123,7584</v>
      </c>
      <c r="M33" s="12"/>
    </row>
    <row r="35" spans="1:13" ht="15">
      <c r="A35" s="60" t="s">
        <v>94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3">
      <c r="A36" s="9" t="s">
        <v>276</v>
      </c>
      <c r="B36" s="10" t="s">
        <v>277</v>
      </c>
      <c r="C36" s="10" t="s">
        <v>278</v>
      </c>
      <c r="D36" s="10" t="str">
        <f>"0,5401"</f>
        <v>0,5401</v>
      </c>
      <c r="E36" s="9" t="s">
        <v>19</v>
      </c>
      <c r="F36" s="9" t="s">
        <v>279</v>
      </c>
      <c r="G36" s="11" t="s">
        <v>92</v>
      </c>
      <c r="H36" s="10" t="s">
        <v>92</v>
      </c>
      <c r="I36" s="10" t="s">
        <v>65</v>
      </c>
      <c r="J36" s="11"/>
      <c r="K36" s="9" t="str">
        <f>"235,0"</f>
        <v>235,0</v>
      </c>
      <c r="L36" s="10" t="str">
        <f>"126,9235"</f>
        <v>126,9235</v>
      </c>
      <c r="M36" s="9"/>
    </row>
    <row r="37" spans="1:13">
      <c r="A37" s="19" t="s">
        <v>281</v>
      </c>
      <c r="B37" s="16" t="s">
        <v>282</v>
      </c>
      <c r="C37" s="16" t="s">
        <v>283</v>
      </c>
      <c r="D37" s="16" t="str">
        <f>"0,5495"</f>
        <v>0,5495</v>
      </c>
      <c r="E37" s="19" t="s">
        <v>19</v>
      </c>
      <c r="F37" s="19" t="s">
        <v>284</v>
      </c>
      <c r="G37" s="20" t="s">
        <v>28</v>
      </c>
      <c r="H37" s="16" t="s">
        <v>28</v>
      </c>
      <c r="I37" s="20" t="s">
        <v>249</v>
      </c>
      <c r="J37" s="20"/>
      <c r="K37" s="19" t="str">
        <f>"145,0"</f>
        <v>145,0</v>
      </c>
      <c r="L37" s="16" t="str">
        <f>"79,6775"</f>
        <v>79,6775</v>
      </c>
      <c r="M37" s="19"/>
    </row>
    <row r="38" spans="1:13">
      <c r="A38" s="19" t="s">
        <v>286</v>
      </c>
      <c r="B38" s="16" t="s">
        <v>287</v>
      </c>
      <c r="C38" s="16" t="s">
        <v>288</v>
      </c>
      <c r="D38" s="16" t="str">
        <f>"0,5452"</f>
        <v>0,5452</v>
      </c>
      <c r="E38" s="19" t="s">
        <v>19</v>
      </c>
      <c r="F38" s="19" t="s">
        <v>64</v>
      </c>
      <c r="G38" s="16" t="s">
        <v>80</v>
      </c>
      <c r="H38" s="16" t="s">
        <v>125</v>
      </c>
      <c r="I38" s="20" t="s">
        <v>35</v>
      </c>
      <c r="J38" s="20"/>
      <c r="K38" s="19" t="str">
        <f>"195,0"</f>
        <v>195,0</v>
      </c>
      <c r="L38" s="16" t="str">
        <f>"107,2708"</f>
        <v>107,2708</v>
      </c>
      <c r="M38" s="19"/>
    </row>
    <row r="39" spans="1:13">
      <c r="A39" s="19" t="s">
        <v>290</v>
      </c>
      <c r="B39" s="16" t="s">
        <v>291</v>
      </c>
      <c r="C39" s="16" t="s">
        <v>292</v>
      </c>
      <c r="D39" s="16" t="str">
        <f>"0,5393"</f>
        <v>0,5393</v>
      </c>
      <c r="E39" s="19" t="s">
        <v>19</v>
      </c>
      <c r="F39" s="19" t="s">
        <v>99</v>
      </c>
      <c r="G39" s="16" t="s">
        <v>23</v>
      </c>
      <c r="H39" s="16" t="s">
        <v>293</v>
      </c>
      <c r="I39" s="16" t="s">
        <v>51</v>
      </c>
      <c r="J39" s="20"/>
      <c r="K39" s="19" t="str">
        <f>"140,0"</f>
        <v>140,0</v>
      </c>
      <c r="L39" s="16" t="str">
        <f>"77,8426"</f>
        <v>77,8426</v>
      </c>
      <c r="M39" s="19"/>
    </row>
    <row r="40" spans="1:13">
      <c r="A40" s="12" t="s">
        <v>295</v>
      </c>
      <c r="B40" s="13" t="s">
        <v>296</v>
      </c>
      <c r="C40" s="13" t="s">
        <v>110</v>
      </c>
      <c r="D40" s="13" t="str">
        <f>"0,5376"</f>
        <v>0,5376</v>
      </c>
      <c r="E40" s="12" t="s">
        <v>19</v>
      </c>
      <c r="F40" s="12" t="s">
        <v>20</v>
      </c>
      <c r="G40" s="13" t="s">
        <v>249</v>
      </c>
      <c r="H40" s="13" t="s">
        <v>52</v>
      </c>
      <c r="I40" s="14" t="s">
        <v>78</v>
      </c>
      <c r="J40" s="14"/>
      <c r="K40" s="12" t="str">
        <f>"160,0"</f>
        <v>160,0</v>
      </c>
      <c r="L40" s="13" t="str">
        <f>"93,9295"</f>
        <v>93,9295</v>
      </c>
      <c r="M40" s="12"/>
    </row>
    <row r="42" spans="1:13" ht="15">
      <c r="A42" s="60" t="s">
        <v>112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1:13">
      <c r="A43" s="9" t="s">
        <v>298</v>
      </c>
      <c r="B43" s="10" t="s">
        <v>299</v>
      </c>
      <c r="C43" s="10" t="s">
        <v>300</v>
      </c>
      <c r="D43" s="10" t="str">
        <f>"0,5223"</f>
        <v>0,5223</v>
      </c>
      <c r="E43" s="9" t="s">
        <v>19</v>
      </c>
      <c r="F43" s="9" t="s">
        <v>64</v>
      </c>
      <c r="G43" s="10" t="s">
        <v>301</v>
      </c>
      <c r="H43" s="10" t="s">
        <v>302</v>
      </c>
      <c r="I43" s="10" t="s">
        <v>111</v>
      </c>
      <c r="J43" s="11"/>
      <c r="K43" s="9" t="str">
        <f>"190,0"</f>
        <v>190,0</v>
      </c>
      <c r="L43" s="10" t="str">
        <f>"99,2370"</f>
        <v>99,2370</v>
      </c>
      <c r="M43" s="9"/>
    </row>
    <row r="44" spans="1:13">
      <c r="A44" s="12" t="s">
        <v>304</v>
      </c>
      <c r="B44" s="13" t="s">
        <v>305</v>
      </c>
      <c r="C44" s="13" t="s">
        <v>306</v>
      </c>
      <c r="D44" s="13" t="str">
        <f>"0,5359"</f>
        <v>0,5359</v>
      </c>
      <c r="E44" s="12" t="s">
        <v>19</v>
      </c>
      <c r="F44" s="12" t="s">
        <v>64</v>
      </c>
      <c r="G44" s="13" t="s">
        <v>125</v>
      </c>
      <c r="H44" s="13" t="s">
        <v>35</v>
      </c>
      <c r="I44" s="13" t="s">
        <v>307</v>
      </c>
      <c r="J44" s="14"/>
      <c r="K44" s="12" t="str">
        <f>"207,5"</f>
        <v>207,5</v>
      </c>
      <c r="L44" s="13" t="str">
        <f>"111,1992"</f>
        <v>111,1992</v>
      </c>
      <c r="M44" s="12"/>
    </row>
    <row r="46" spans="1:13" ht="15">
      <c r="A46" s="60" t="s">
        <v>308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</row>
    <row r="47" spans="1:13">
      <c r="A47" s="17" t="s">
        <v>310</v>
      </c>
      <c r="B47" s="15" t="s">
        <v>311</v>
      </c>
      <c r="C47" s="15" t="s">
        <v>312</v>
      </c>
      <c r="D47" s="15" t="str">
        <f>"0,5157"</f>
        <v>0,5157</v>
      </c>
      <c r="E47" s="17" t="s">
        <v>19</v>
      </c>
      <c r="F47" s="17" t="s">
        <v>20</v>
      </c>
      <c r="G47" s="15" t="s">
        <v>35</v>
      </c>
      <c r="H47" s="18" t="s">
        <v>43</v>
      </c>
      <c r="I47" s="18" t="s">
        <v>43</v>
      </c>
      <c r="J47" s="18"/>
      <c r="K47" s="17" t="str">
        <f>"200,0"</f>
        <v>200,0</v>
      </c>
      <c r="L47" s="15" t="str">
        <f>"103,1400"</f>
        <v>103,1400</v>
      </c>
      <c r="M47" s="17"/>
    </row>
    <row r="49" spans="1:5" ht="15">
      <c r="E49" s="21" t="s">
        <v>128</v>
      </c>
    </row>
    <row r="50" spans="1:5" ht="15">
      <c r="E50" s="21" t="s">
        <v>129</v>
      </c>
    </row>
    <row r="51" spans="1:5" ht="15">
      <c r="E51" s="21" t="s">
        <v>130</v>
      </c>
    </row>
    <row r="52" spans="1:5">
      <c r="E52" s="4" t="s">
        <v>131</v>
      </c>
    </row>
    <row r="53" spans="1:5">
      <c r="E53" s="4" t="s">
        <v>132</v>
      </c>
    </row>
    <row r="54" spans="1:5">
      <c r="E54" s="4" t="s">
        <v>133</v>
      </c>
    </row>
    <row r="57" spans="1:5" ht="18">
      <c r="A57" s="22" t="s">
        <v>134</v>
      </c>
      <c r="B57" s="23"/>
    </row>
    <row r="58" spans="1:5" ht="15">
      <c r="A58" s="24" t="s">
        <v>135</v>
      </c>
      <c r="B58" s="25"/>
    </row>
    <row r="59" spans="1:5" ht="14.25">
      <c r="A59" s="27"/>
      <c r="B59" s="28" t="s">
        <v>149</v>
      </c>
    </row>
    <row r="60" spans="1:5" ht="15">
      <c r="A60" s="29" t="s">
        <v>0</v>
      </c>
      <c r="B60" s="29" t="s">
        <v>137</v>
      </c>
      <c r="C60" s="29" t="s">
        <v>138</v>
      </c>
      <c r="D60" s="29" t="s">
        <v>139</v>
      </c>
      <c r="E60" s="29" t="s">
        <v>12</v>
      </c>
    </row>
    <row r="61" spans="1:5">
      <c r="A61" s="26" t="s">
        <v>210</v>
      </c>
      <c r="B61" s="5" t="s">
        <v>150</v>
      </c>
      <c r="C61" s="5" t="s">
        <v>313</v>
      </c>
      <c r="D61" s="5" t="s">
        <v>216</v>
      </c>
      <c r="E61" s="30" t="s">
        <v>314</v>
      </c>
    </row>
    <row r="63" spans="1:5" ht="14.25">
      <c r="A63" s="27"/>
      <c r="B63" s="28" t="s">
        <v>143</v>
      </c>
    </row>
    <row r="64" spans="1:5" ht="15">
      <c r="A64" s="29" t="s">
        <v>0</v>
      </c>
      <c r="B64" s="29" t="s">
        <v>137</v>
      </c>
      <c r="C64" s="29" t="s">
        <v>138</v>
      </c>
      <c r="D64" s="29" t="s">
        <v>139</v>
      </c>
      <c r="E64" s="29" t="s">
        <v>12</v>
      </c>
    </row>
    <row r="65" spans="1:5">
      <c r="A65" s="26" t="s">
        <v>228</v>
      </c>
      <c r="B65" s="5" t="s">
        <v>143</v>
      </c>
      <c r="C65" s="5" t="s">
        <v>151</v>
      </c>
      <c r="D65" s="5" t="s">
        <v>234</v>
      </c>
      <c r="E65" s="30" t="s">
        <v>315</v>
      </c>
    </row>
    <row r="66" spans="1:5">
      <c r="A66" s="26" t="s">
        <v>24</v>
      </c>
      <c r="B66" s="5" t="s">
        <v>143</v>
      </c>
      <c r="C66" s="5" t="s">
        <v>141</v>
      </c>
      <c r="D66" s="5" t="s">
        <v>227</v>
      </c>
      <c r="E66" s="30" t="s">
        <v>316</v>
      </c>
    </row>
    <row r="67" spans="1:5">
      <c r="A67" s="26" t="s">
        <v>218</v>
      </c>
      <c r="B67" s="5" t="s">
        <v>143</v>
      </c>
      <c r="C67" s="5" t="s">
        <v>317</v>
      </c>
      <c r="D67" s="5" t="s">
        <v>223</v>
      </c>
      <c r="E67" s="30" t="s">
        <v>318</v>
      </c>
    </row>
    <row r="70" spans="1:5" ht="15">
      <c r="A70" s="24" t="s">
        <v>145</v>
      </c>
      <c r="B70" s="25"/>
    </row>
    <row r="71" spans="1:5" ht="14.25">
      <c r="A71" s="27"/>
      <c r="B71" s="28" t="s">
        <v>149</v>
      </c>
    </row>
    <row r="72" spans="1:5" ht="15">
      <c r="A72" s="29" t="s">
        <v>0</v>
      </c>
      <c r="B72" s="29" t="s">
        <v>137</v>
      </c>
      <c r="C72" s="29" t="s">
        <v>138</v>
      </c>
      <c r="D72" s="29" t="s">
        <v>139</v>
      </c>
      <c r="E72" s="29" t="s">
        <v>12</v>
      </c>
    </row>
    <row r="73" spans="1:5">
      <c r="A73" s="26" t="s">
        <v>31</v>
      </c>
      <c r="B73" s="5" t="s">
        <v>150</v>
      </c>
      <c r="C73" s="5" t="s">
        <v>151</v>
      </c>
      <c r="D73" s="5" t="s">
        <v>236</v>
      </c>
      <c r="E73" s="30" t="s">
        <v>319</v>
      </c>
    </row>
    <row r="75" spans="1:5" ht="14.25">
      <c r="A75" s="27"/>
      <c r="B75" s="28" t="s">
        <v>143</v>
      </c>
    </row>
    <row r="76" spans="1:5" ht="15">
      <c r="A76" s="29" t="s">
        <v>0</v>
      </c>
      <c r="B76" s="29" t="s">
        <v>137</v>
      </c>
      <c r="C76" s="29" t="s">
        <v>138</v>
      </c>
      <c r="D76" s="29" t="s">
        <v>139</v>
      </c>
      <c r="E76" s="29" t="s">
        <v>12</v>
      </c>
    </row>
    <row r="77" spans="1:5">
      <c r="A77" s="26" t="s">
        <v>275</v>
      </c>
      <c r="B77" s="5" t="s">
        <v>143</v>
      </c>
      <c r="C77" s="5" t="s">
        <v>155</v>
      </c>
      <c r="D77" s="5" t="s">
        <v>65</v>
      </c>
      <c r="E77" s="30" t="s">
        <v>320</v>
      </c>
    </row>
    <row r="78" spans="1:5">
      <c r="A78" s="26" t="s">
        <v>251</v>
      </c>
      <c r="B78" s="5" t="s">
        <v>143</v>
      </c>
      <c r="C78" s="5" t="s">
        <v>166</v>
      </c>
      <c r="D78" s="5" t="s">
        <v>35</v>
      </c>
      <c r="E78" s="30" t="s">
        <v>321</v>
      </c>
    </row>
    <row r="79" spans="1:5">
      <c r="A79" s="26" t="s">
        <v>262</v>
      </c>
      <c r="B79" s="5" t="s">
        <v>143</v>
      </c>
      <c r="C79" s="5" t="s">
        <v>161</v>
      </c>
      <c r="D79" s="5" t="s">
        <v>35</v>
      </c>
      <c r="E79" s="30" t="s">
        <v>322</v>
      </c>
    </row>
    <row r="80" spans="1:5">
      <c r="A80" s="26" t="s">
        <v>309</v>
      </c>
      <c r="B80" s="5" t="s">
        <v>143</v>
      </c>
      <c r="C80" s="5" t="s">
        <v>323</v>
      </c>
      <c r="D80" s="5" t="s">
        <v>35</v>
      </c>
      <c r="E80" s="30" t="s">
        <v>324</v>
      </c>
    </row>
    <row r="81" spans="1:5">
      <c r="A81" s="26" t="s">
        <v>297</v>
      </c>
      <c r="B81" s="5" t="s">
        <v>143</v>
      </c>
      <c r="C81" s="5" t="s">
        <v>153</v>
      </c>
      <c r="D81" s="5" t="s">
        <v>111</v>
      </c>
      <c r="E81" s="30" t="s">
        <v>325</v>
      </c>
    </row>
    <row r="82" spans="1:5">
      <c r="A82" s="26" t="s">
        <v>237</v>
      </c>
      <c r="B82" s="5" t="s">
        <v>143</v>
      </c>
      <c r="C82" s="5" t="s">
        <v>147</v>
      </c>
      <c r="D82" s="5" t="s">
        <v>27</v>
      </c>
      <c r="E82" s="30" t="s">
        <v>326</v>
      </c>
    </row>
    <row r="83" spans="1:5">
      <c r="A83" s="26" t="s">
        <v>280</v>
      </c>
      <c r="B83" s="5" t="s">
        <v>143</v>
      </c>
      <c r="C83" s="5" t="s">
        <v>155</v>
      </c>
      <c r="D83" s="5" t="s">
        <v>28</v>
      </c>
      <c r="E83" s="30" t="s">
        <v>327</v>
      </c>
    </row>
    <row r="85" spans="1:5" ht="14.25">
      <c r="A85" s="27"/>
      <c r="B85" s="28" t="s">
        <v>328</v>
      </c>
    </row>
    <row r="86" spans="1:5" ht="15">
      <c r="A86" s="29" t="s">
        <v>0</v>
      </c>
      <c r="B86" s="29" t="s">
        <v>137</v>
      </c>
      <c r="C86" s="29" t="s">
        <v>138</v>
      </c>
      <c r="D86" s="29" t="s">
        <v>139</v>
      </c>
      <c r="E86" s="29" t="s">
        <v>12</v>
      </c>
    </row>
    <row r="87" spans="1:5">
      <c r="A87" s="26" t="s">
        <v>266</v>
      </c>
      <c r="B87" s="5" t="s">
        <v>329</v>
      </c>
      <c r="C87" s="5" t="s">
        <v>161</v>
      </c>
      <c r="D87" s="5" t="s">
        <v>79</v>
      </c>
      <c r="E87" s="30" t="s">
        <v>330</v>
      </c>
    </row>
    <row r="89" spans="1:5" ht="14.25">
      <c r="A89" s="27"/>
      <c r="B89" s="28" t="s">
        <v>164</v>
      </c>
    </row>
    <row r="90" spans="1:5" ht="15">
      <c r="A90" s="29" t="s">
        <v>0</v>
      </c>
      <c r="B90" s="29" t="s">
        <v>137</v>
      </c>
      <c r="C90" s="29" t="s">
        <v>138</v>
      </c>
      <c r="D90" s="29" t="s">
        <v>139</v>
      </c>
      <c r="E90" s="29" t="s">
        <v>12</v>
      </c>
    </row>
    <row r="91" spans="1:5">
      <c r="A91" s="26" t="s">
        <v>82</v>
      </c>
      <c r="B91" s="5" t="s">
        <v>165</v>
      </c>
      <c r="C91" s="5" t="s">
        <v>166</v>
      </c>
      <c r="D91" s="5" t="s">
        <v>27</v>
      </c>
      <c r="E91" s="30" t="s">
        <v>331</v>
      </c>
    </row>
    <row r="92" spans="1:5">
      <c r="A92" s="26" t="s">
        <v>271</v>
      </c>
      <c r="B92" s="5" t="s">
        <v>170</v>
      </c>
      <c r="C92" s="5" t="s">
        <v>161</v>
      </c>
      <c r="D92" s="5" t="s">
        <v>52</v>
      </c>
      <c r="E92" s="30" t="s">
        <v>332</v>
      </c>
    </row>
    <row r="93" spans="1:5">
      <c r="A93" s="26" t="s">
        <v>303</v>
      </c>
      <c r="B93" s="5" t="s">
        <v>172</v>
      </c>
      <c r="C93" s="5" t="s">
        <v>153</v>
      </c>
      <c r="D93" s="5" t="s">
        <v>307</v>
      </c>
      <c r="E93" s="30" t="s">
        <v>333</v>
      </c>
    </row>
    <row r="94" spans="1:5">
      <c r="A94" s="26" t="s">
        <v>183</v>
      </c>
      <c r="B94" s="5" t="s">
        <v>172</v>
      </c>
      <c r="C94" s="5" t="s">
        <v>166</v>
      </c>
      <c r="D94" s="5" t="s">
        <v>79</v>
      </c>
      <c r="E94" s="30" t="s">
        <v>334</v>
      </c>
    </row>
    <row r="95" spans="1:5">
      <c r="A95" s="26" t="s">
        <v>285</v>
      </c>
      <c r="B95" s="5" t="s">
        <v>172</v>
      </c>
      <c r="C95" s="5" t="s">
        <v>155</v>
      </c>
      <c r="D95" s="5" t="s">
        <v>125</v>
      </c>
      <c r="E95" s="30" t="s">
        <v>335</v>
      </c>
    </row>
    <row r="96" spans="1:5">
      <c r="A96" s="26" t="s">
        <v>256</v>
      </c>
      <c r="B96" s="5" t="s">
        <v>336</v>
      </c>
      <c r="C96" s="5" t="s">
        <v>166</v>
      </c>
      <c r="D96" s="5" t="s">
        <v>249</v>
      </c>
      <c r="E96" s="30" t="s">
        <v>337</v>
      </c>
    </row>
    <row r="97" spans="1:5">
      <c r="A97" s="26" t="s">
        <v>243</v>
      </c>
      <c r="B97" s="5" t="s">
        <v>172</v>
      </c>
      <c r="C97" s="5" t="s">
        <v>147</v>
      </c>
      <c r="D97" s="5" t="s">
        <v>250</v>
      </c>
      <c r="E97" s="30" t="s">
        <v>338</v>
      </c>
    </row>
    <row r="98" spans="1:5">
      <c r="A98" s="26" t="s">
        <v>294</v>
      </c>
      <c r="B98" s="5" t="s">
        <v>339</v>
      </c>
      <c r="C98" s="5" t="s">
        <v>155</v>
      </c>
      <c r="D98" s="5" t="s">
        <v>52</v>
      </c>
      <c r="E98" s="30" t="s">
        <v>340</v>
      </c>
    </row>
    <row r="99" spans="1:5">
      <c r="A99" s="26" t="s">
        <v>289</v>
      </c>
      <c r="B99" s="5" t="s">
        <v>172</v>
      </c>
      <c r="C99" s="5" t="s">
        <v>155</v>
      </c>
      <c r="D99" s="5" t="s">
        <v>51</v>
      </c>
      <c r="E99" s="30" t="s">
        <v>341</v>
      </c>
    </row>
  </sheetData>
  <mergeCells count="22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  <mergeCell ref="A42:L42"/>
    <mergeCell ref="A46:L46"/>
    <mergeCell ref="A14:L14"/>
    <mergeCell ref="A17:L17"/>
    <mergeCell ref="A20:L20"/>
    <mergeCell ref="A24:L24"/>
    <mergeCell ref="A30:L30"/>
    <mergeCell ref="A35:L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202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4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204</v>
      </c>
      <c r="B6" s="15" t="s">
        <v>205</v>
      </c>
      <c r="C6" s="15" t="s">
        <v>206</v>
      </c>
      <c r="D6" s="15" t="str">
        <f>"0,6209"</f>
        <v>0,6209</v>
      </c>
      <c r="E6" s="17" t="s">
        <v>19</v>
      </c>
      <c r="F6" s="17" t="s">
        <v>20</v>
      </c>
      <c r="G6" s="15" t="s">
        <v>78</v>
      </c>
      <c r="H6" s="15" t="s">
        <v>35</v>
      </c>
      <c r="I6" s="15" t="s">
        <v>59</v>
      </c>
      <c r="J6" s="18"/>
      <c r="K6" s="17" t="str">
        <f>"220,0"</f>
        <v>220,0</v>
      </c>
      <c r="L6" s="15" t="str">
        <f>"136,5980"</f>
        <v>136,5980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E8" s="21" t="s">
        <v>128</v>
      </c>
    </row>
    <row r="9" spans="1:13" ht="15">
      <c r="E9" s="21" t="s">
        <v>129</v>
      </c>
    </row>
    <row r="10" spans="1:13" ht="15">
      <c r="E10" s="21" t="s">
        <v>130</v>
      </c>
    </row>
    <row r="11" spans="1:13">
      <c r="E11" s="4" t="s">
        <v>131</v>
      </c>
    </row>
    <row r="12" spans="1:13">
      <c r="E12" s="4" t="s">
        <v>132</v>
      </c>
    </row>
    <row r="13" spans="1:13">
      <c r="E13" s="4" t="s">
        <v>133</v>
      </c>
    </row>
    <row r="16" spans="1:13" ht="18">
      <c r="A16" s="22" t="s">
        <v>134</v>
      </c>
      <c r="B16" s="23"/>
    </row>
    <row r="17" spans="1:5" ht="15">
      <c r="A17" s="24" t="s">
        <v>145</v>
      </c>
      <c r="B17" s="25"/>
    </row>
    <row r="18" spans="1:5" ht="14.25">
      <c r="A18" s="27"/>
      <c r="B18" s="28" t="s">
        <v>143</v>
      </c>
    </row>
    <row r="19" spans="1:5" ht="15">
      <c r="A19" s="29" t="s">
        <v>0</v>
      </c>
      <c r="B19" s="29" t="s">
        <v>137</v>
      </c>
      <c r="C19" s="29" t="s">
        <v>138</v>
      </c>
      <c r="D19" s="29" t="s">
        <v>139</v>
      </c>
      <c r="E19" s="29" t="s">
        <v>12</v>
      </c>
    </row>
    <row r="20" spans="1:5">
      <c r="A20" s="26" t="s">
        <v>203</v>
      </c>
      <c r="B20" s="5" t="s">
        <v>143</v>
      </c>
      <c r="C20" s="5" t="s">
        <v>147</v>
      </c>
      <c r="D20" s="5" t="s">
        <v>59</v>
      </c>
      <c r="E20" s="30" t="s">
        <v>207</v>
      </c>
    </row>
  </sheetData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sqref="A1:M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10" width="5.570312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176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4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16</v>
      </c>
      <c r="B6" s="15" t="s">
        <v>17</v>
      </c>
      <c r="C6" s="15" t="s">
        <v>18</v>
      </c>
      <c r="D6" s="15" t="str">
        <f>"0,8688"</f>
        <v>0,8688</v>
      </c>
      <c r="E6" s="17" t="s">
        <v>19</v>
      </c>
      <c r="F6" s="17" t="s">
        <v>20</v>
      </c>
      <c r="G6" s="15" t="s">
        <v>21</v>
      </c>
      <c r="H6" s="15" t="s">
        <v>177</v>
      </c>
      <c r="I6" s="15" t="s">
        <v>22</v>
      </c>
      <c r="J6" s="18"/>
      <c r="K6" s="17" t="str">
        <f>"125,0"</f>
        <v>125,0</v>
      </c>
      <c r="L6" s="15" t="str">
        <f>"108,6000"</f>
        <v>108,6000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45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179</v>
      </c>
      <c r="B9" s="15" t="s">
        <v>180</v>
      </c>
      <c r="C9" s="15" t="s">
        <v>181</v>
      </c>
      <c r="D9" s="15" t="str">
        <f>"0,6680"</f>
        <v>0,6680</v>
      </c>
      <c r="E9" s="17" t="s">
        <v>19</v>
      </c>
      <c r="F9" s="17" t="s">
        <v>50</v>
      </c>
      <c r="G9" s="15" t="s">
        <v>177</v>
      </c>
      <c r="H9" s="15" t="s">
        <v>182</v>
      </c>
      <c r="I9" s="15" t="s">
        <v>51</v>
      </c>
      <c r="J9" s="18"/>
      <c r="K9" s="17" t="str">
        <f>"140,0"</f>
        <v>140,0</v>
      </c>
      <c r="L9" s="15" t="str">
        <f>"93,5200"</f>
        <v>93,5200</v>
      </c>
      <c r="M9" s="17"/>
    </row>
    <row r="11" spans="1:13" ht="15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3">
      <c r="A12" s="17" t="s">
        <v>184</v>
      </c>
      <c r="B12" s="15" t="s">
        <v>185</v>
      </c>
      <c r="C12" s="15" t="s">
        <v>186</v>
      </c>
      <c r="D12" s="15" t="str">
        <f>"0,5881"</f>
        <v>0,5881</v>
      </c>
      <c r="E12" s="17" t="s">
        <v>19</v>
      </c>
      <c r="F12" s="17" t="s">
        <v>20</v>
      </c>
      <c r="G12" s="15" t="s">
        <v>79</v>
      </c>
      <c r="H12" s="15" t="s">
        <v>59</v>
      </c>
      <c r="I12" s="15" t="s">
        <v>37</v>
      </c>
      <c r="J12" s="18" t="s">
        <v>67</v>
      </c>
      <c r="K12" s="17" t="str">
        <f>"240,0"</f>
        <v>240,0</v>
      </c>
      <c r="L12" s="15" t="str">
        <f>"143,6846"</f>
        <v>143,6846</v>
      </c>
      <c r="M12" s="17"/>
    </row>
    <row r="14" spans="1:13" ht="15">
      <c r="A14" s="60" t="s">
        <v>187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3">
      <c r="A15" s="9" t="s">
        <v>189</v>
      </c>
      <c r="B15" s="10" t="s">
        <v>190</v>
      </c>
      <c r="C15" s="10" t="s">
        <v>191</v>
      </c>
      <c r="D15" s="10" t="str">
        <f>"0,4845"</f>
        <v>0,4845</v>
      </c>
      <c r="E15" s="9" t="s">
        <v>19</v>
      </c>
      <c r="F15" s="9" t="s">
        <v>192</v>
      </c>
      <c r="G15" s="10" t="s">
        <v>193</v>
      </c>
      <c r="H15" s="10" t="s">
        <v>194</v>
      </c>
      <c r="I15" s="11"/>
      <c r="J15" s="11"/>
      <c r="K15" s="9" t="str">
        <f>"335,0"</f>
        <v>335,0</v>
      </c>
      <c r="L15" s="10" t="str">
        <f>"162,3075"</f>
        <v>162,3075</v>
      </c>
      <c r="M15" s="9"/>
    </row>
    <row r="16" spans="1:13">
      <c r="A16" s="12" t="s">
        <v>189</v>
      </c>
      <c r="B16" s="13" t="s">
        <v>195</v>
      </c>
      <c r="C16" s="13" t="s">
        <v>191</v>
      </c>
      <c r="D16" s="13" t="str">
        <f>"0,4845"</f>
        <v>0,4845</v>
      </c>
      <c r="E16" s="12" t="s">
        <v>19</v>
      </c>
      <c r="F16" s="12" t="s">
        <v>192</v>
      </c>
      <c r="G16" s="13" t="s">
        <v>193</v>
      </c>
      <c r="H16" s="13" t="s">
        <v>194</v>
      </c>
      <c r="I16" s="14"/>
      <c r="J16" s="14"/>
      <c r="K16" s="12" t="str">
        <f>"335,0"</f>
        <v>335,0</v>
      </c>
      <c r="L16" s="13" t="str">
        <f>"167,3390"</f>
        <v>167,3390</v>
      </c>
      <c r="M16" s="12"/>
    </row>
    <row r="18" spans="1:5" ht="15">
      <c r="E18" s="21" t="s">
        <v>128</v>
      </c>
    </row>
    <row r="19" spans="1:5" ht="15">
      <c r="E19" s="21" t="s">
        <v>129</v>
      </c>
    </row>
    <row r="20" spans="1:5" ht="15">
      <c r="E20" s="21" t="s">
        <v>130</v>
      </c>
    </row>
    <row r="21" spans="1:5">
      <c r="E21" s="4" t="s">
        <v>131</v>
      </c>
    </row>
    <row r="22" spans="1:5">
      <c r="E22" s="4" t="s">
        <v>132</v>
      </c>
    </row>
    <row r="23" spans="1:5">
      <c r="E23" s="4" t="s">
        <v>133</v>
      </c>
    </row>
    <row r="26" spans="1:5" ht="18">
      <c r="A26" s="22" t="s">
        <v>134</v>
      </c>
      <c r="B26" s="23"/>
    </row>
    <row r="27" spans="1:5" ht="15">
      <c r="A27" s="24" t="s">
        <v>135</v>
      </c>
      <c r="B27" s="25"/>
    </row>
    <row r="28" spans="1:5" ht="14.25">
      <c r="A28" s="27"/>
      <c r="B28" s="28" t="s">
        <v>136</v>
      </c>
    </row>
    <row r="29" spans="1:5" ht="15">
      <c r="A29" s="29" t="s">
        <v>0</v>
      </c>
      <c r="B29" s="29" t="s">
        <v>137</v>
      </c>
      <c r="C29" s="29" t="s">
        <v>138</v>
      </c>
      <c r="D29" s="29" t="s">
        <v>139</v>
      </c>
      <c r="E29" s="29" t="s">
        <v>12</v>
      </c>
    </row>
    <row r="30" spans="1:5">
      <c r="A30" s="26" t="s">
        <v>15</v>
      </c>
      <c r="B30" s="5" t="s">
        <v>140</v>
      </c>
      <c r="C30" s="5" t="s">
        <v>141</v>
      </c>
      <c r="D30" s="5" t="s">
        <v>22</v>
      </c>
      <c r="E30" s="30" t="s">
        <v>196</v>
      </c>
    </row>
    <row r="32" spans="1:5" ht="14.25">
      <c r="A32" s="27"/>
      <c r="B32" s="28" t="s">
        <v>143</v>
      </c>
    </row>
    <row r="33" spans="1:5" ht="15">
      <c r="A33" s="29" t="s">
        <v>0</v>
      </c>
      <c r="B33" s="29" t="s">
        <v>137</v>
      </c>
      <c r="C33" s="29" t="s">
        <v>138</v>
      </c>
      <c r="D33" s="29" t="s">
        <v>139</v>
      </c>
      <c r="E33" s="29" t="s">
        <v>12</v>
      </c>
    </row>
    <row r="34" spans="1:5">
      <c r="A34" s="26" t="s">
        <v>178</v>
      </c>
      <c r="B34" s="5" t="s">
        <v>143</v>
      </c>
      <c r="C34" s="5" t="s">
        <v>173</v>
      </c>
      <c r="D34" s="5" t="s">
        <v>51</v>
      </c>
      <c r="E34" s="30" t="s">
        <v>197</v>
      </c>
    </row>
    <row r="37" spans="1:5" ht="15">
      <c r="A37" s="24" t="s">
        <v>145</v>
      </c>
      <c r="B37" s="25"/>
    </row>
    <row r="38" spans="1:5" ht="14.25">
      <c r="A38" s="27"/>
      <c r="B38" s="28" t="s">
        <v>143</v>
      </c>
    </row>
    <row r="39" spans="1:5" ht="15">
      <c r="A39" s="29" t="s">
        <v>0</v>
      </c>
      <c r="B39" s="29" t="s">
        <v>137</v>
      </c>
      <c r="C39" s="29" t="s">
        <v>138</v>
      </c>
      <c r="D39" s="29" t="s">
        <v>139</v>
      </c>
      <c r="E39" s="29" t="s">
        <v>12</v>
      </c>
    </row>
    <row r="40" spans="1:5">
      <c r="A40" s="26" t="s">
        <v>188</v>
      </c>
      <c r="B40" s="5" t="s">
        <v>143</v>
      </c>
      <c r="C40" s="5" t="s">
        <v>198</v>
      </c>
      <c r="D40" s="5" t="s">
        <v>194</v>
      </c>
      <c r="E40" s="30" t="s">
        <v>199</v>
      </c>
    </row>
    <row r="42" spans="1:5" ht="14.25">
      <c r="A42" s="27"/>
      <c r="B42" s="28" t="s">
        <v>164</v>
      </c>
    </row>
    <row r="43" spans="1:5" ht="15">
      <c r="A43" s="29" t="s">
        <v>0</v>
      </c>
      <c r="B43" s="29" t="s">
        <v>137</v>
      </c>
      <c r="C43" s="29" t="s">
        <v>138</v>
      </c>
      <c r="D43" s="29" t="s">
        <v>139</v>
      </c>
      <c r="E43" s="29" t="s">
        <v>12</v>
      </c>
    </row>
    <row r="44" spans="1:5">
      <c r="A44" s="26" t="s">
        <v>188</v>
      </c>
      <c r="B44" s="5" t="s">
        <v>172</v>
      </c>
      <c r="C44" s="5" t="s">
        <v>198</v>
      </c>
      <c r="D44" s="5" t="s">
        <v>194</v>
      </c>
      <c r="E44" s="30" t="s">
        <v>200</v>
      </c>
    </row>
    <row r="45" spans="1:5">
      <c r="A45" s="26" t="s">
        <v>183</v>
      </c>
      <c r="B45" s="5" t="s">
        <v>172</v>
      </c>
      <c r="C45" s="5" t="s">
        <v>166</v>
      </c>
      <c r="D45" s="5" t="s">
        <v>37</v>
      </c>
      <c r="E45" s="30" t="s">
        <v>201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83"/>
  <sheetViews>
    <sheetView tabSelected="1" topLeftCell="A6" zoomScaleNormal="100" workbookViewId="0">
      <selection sqref="A1:M2"/>
    </sheetView>
  </sheetViews>
  <sheetFormatPr defaultRowHeight="12.75"/>
  <cols>
    <col min="1" max="1" width="29.85546875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21" style="4" bestFit="1" customWidth="1"/>
    <col min="7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13.85546875" style="4" bestFit="1" customWidth="1"/>
    <col min="14" max="16384" width="9.140625" style="3"/>
  </cols>
  <sheetData>
    <row r="1" spans="1:13" s="2" customFormat="1" ht="29.1" customHeight="1">
      <c r="A1" s="46" t="s">
        <v>11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4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9" t="s">
        <v>16</v>
      </c>
      <c r="B6" s="10" t="s">
        <v>17</v>
      </c>
      <c r="C6" s="10" t="s">
        <v>18</v>
      </c>
      <c r="D6" s="10" t="str">
        <f>"0,8688"</f>
        <v>0,8688</v>
      </c>
      <c r="E6" s="9" t="s">
        <v>19</v>
      </c>
      <c r="F6" s="9" t="s">
        <v>20</v>
      </c>
      <c r="G6" s="10" t="s">
        <v>21</v>
      </c>
      <c r="H6" s="10" t="s">
        <v>22</v>
      </c>
      <c r="I6" s="10" t="s">
        <v>23</v>
      </c>
      <c r="J6" s="11"/>
      <c r="K6" s="9" t="str">
        <f>"127,5"</f>
        <v>127,5</v>
      </c>
      <c r="L6" s="10" t="str">
        <f>"110,7720"</f>
        <v>110,7720</v>
      </c>
      <c r="M6" s="9"/>
    </row>
    <row r="7" spans="1:13" s="5" customFormat="1">
      <c r="A7" s="12" t="s">
        <v>25</v>
      </c>
      <c r="B7" s="13" t="s">
        <v>26</v>
      </c>
      <c r="C7" s="13" t="s">
        <v>18</v>
      </c>
      <c r="D7" s="13" t="str">
        <f>"0,8688"</f>
        <v>0,8688</v>
      </c>
      <c r="E7" s="12" t="s">
        <v>19</v>
      </c>
      <c r="F7" s="12" t="s">
        <v>20</v>
      </c>
      <c r="G7" s="13" t="s">
        <v>27</v>
      </c>
      <c r="H7" s="13" t="s">
        <v>28</v>
      </c>
      <c r="I7" s="13" t="s">
        <v>29</v>
      </c>
      <c r="J7" s="14"/>
      <c r="K7" s="12" t="str">
        <f>"147,5"</f>
        <v>147,5</v>
      </c>
      <c r="L7" s="13" t="str">
        <f>"128,1480"</f>
        <v>128,1480</v>
      </c>
      <c r="M7" s="12"/>
    </row>
    <row r="9" spans="1:13" ht="15">
      <c r="A9" s="60" t="s">
        <v>30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3">
      <c r="A10" s="9" t="s">
        <v>32</v>
      </c>
      <c r="B10" s="10" t="s">
        <v>33</v>
      </c>
      <c r="C10" s="10" t="s">
        <v>34</v>
      </c>
      <c r="D10" s="10" t="str">
        <f>"0,7278"</f>
        <v>0,7278</v>
      </c>
      <c r="E10" s="9" t="s">
        <v>19</v>
      </c>
      <c r="F10" s="9" t="s">
        <v>20</v>
      </c>
      <c r="G10" s="11" t="s">
        <v>35</v>
      </c>
      <c r="H10" s="10" t="s">
        <v>36</v>
      </c>
      <c r="I10" s="11" t="s">
        <v>37</v>
      </c>
      <c r="J10" s="11"/>
      <c r="K10" s="9" t="str">
        <f>"225,0"</f>
        <v>225,0</v>
      </c>
      <c r="L10" s="10" t="str">
        <f>"163,7550"</f>
        <v>163,7550</v>
      </c>
      <c r="M10" s="9"/>
    </row>
    <row r="11" spans="1:13">
      <c r="A11" s="12" t="s">
        <v>39</v>
      </c>
      <c r="B11" s="13" t="s">
        <v>40</v>
      </c>
      <c r="C11" s="13" t="s">
        <v>41</v>
      </c>
      <c r="D11" s="13" t="str">
        <f>"0,7268"</f>
        <v>0,7268</v>
      </c>
      <c r="E11" s="12" t="s">
        <v>19</v>
      </c>
      <c r="F11" s="12" t="s">
        <v>42</v>
      </c>
      <c r="G11" s="13" t="s">
        <v>43</v>
      </c>
      <c r="H11" s="13" t="s">
        <v>36</v>
      </c>
      <c r="I11" s="14" t="s">
        <v>44</v>
      </c>
      <c r="J11" s="14"/>
      <c r="K11" s="12" t="str">
        <f>"225,0"</f>
        <v>225,0</v>
      </c>
      <c r="L11" s="13" t="str">
        <f>"163,5300"</f>
        <v>163,5300</v>
      </c>
      <c r="M11" s="12"/>
    </row>
    <row r="13" spans="1:13" ht="15">
      <c r="A13" s="60" t="s">
        <v>45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3">
      <c r="A14" s="17" t="s">
        <v>47</v>
      </c>
      <c r="B14" s="15" t="s">
        <v>48</v>
      </c>
      <c r="C14" s="15" t="s">
        <v>49</v>
      </c>
      <c r="D14" s="15" t="str">
        <f>"0,6723"</f>
        <v>0,6723</v>
      </c>
      <c r="E14" s="17" t="s">
        <v>19</v>
      </c>
      <c r="F14" s="17" t="s">
        <v>50</v>
      </c>
      <c r="G14" s="15" t="s">
        <v>51</v>
      </c>
      <c r="H14" s="15" t="s">
        <v>52</v>
      </c>
      <c r="I14" s="15" t="s">
        <v>53</v>
      </c>
      <c r="J14" s="18"/>
      <c r="K14" s="17" t="str">
        <f>"165,0"</f>
        <v>165,0</v>
      </c>
      <c r="L14" s="15" t="str">
        <f>"112,9262"</f>
        <v>112,9262</v>
      </c>
      <c r="M14" s="17"/>
    </row>
    <row r="16" spans="1:13" ht="15">
      <c r="A16" s="60" t="s">
        <v>54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</row>
    <row r="17" spans="1:13">
      <c r="A17" s="9" t="s">
        <v>56</v>
      </c>
      <c r="B17" s="10" t="s">
        <v>57</v>
      </c>
      <c r="C17" s="10" t="s">
        <v>58</v>
      </c>
      <c r="D17" s="10" t="str">
        <f>"0,6273"</f>
        <v>0,6273</v>
      </c>
      <c r="E17" s="9" t="s">
        <v>19</v>
      </c>
      <c r="F17" s="9" t="s">
        <v>20</v>
      </c>
      <c r="G17" s="10" t="s">
        <v>35</v>
      </c>
      <c r="H17" s="10" t="s">
        <v>43</v>
      </c>
      <c r="I17" s="11" t="s">
        <v>59</v>
      </c>
      <c r="J17" s="11"/>
      <c r="K17" s="9" t="str">
        <f>"210,0"</f>
        <v>210,0</v>
      </c>
      <c r="L17" s="10" t="str">
        <f>"131,7330"</f>
        <v>131,7330</v>
      </c>
      <c r="M17" s="9"/>
    </row>
    <row r="18" spans="1:13">
      <c r="A18" s="19" t="s">
        <v>61</v>
      </c>
      <c r="B18" s="16" t="s">
        <v>62</v>
      </c>
      <c r="C18" s="16" t="s">
        <v>63</v>
      </c>
      <c r="D18" s="16" t="str">
        <f>"0,6563"</f>
        <v>0,6563</v>
      </c>
      <c r="E18" s="19" t="s">
        <v>19</v>
      </c>
      <c r="F18" s="19" t="s">
        <v>64</v>
      </c>
      <c r="G18" s="16" t="s">
        <v>65</v>
      </c>
      <c r="H18" s="16" t="s">
        <v>66</v>
      </c>
      <c r="I18" s="20" t="s">
        <v>67</v>
      </c>
      <c r="J18" s="20"/>
      <c r="K18" s="19" t="str">
        <f>"245,0"</f>
        <v>245,0</v>
      </c>
      <c r="L18" s="16" t="str">
        <f>"160,7935"</f>
        <v>160,7935</v>
      </c>
      <c r="M18" s="19"/>
    </row>
    <row r="19" spans="1:13">
      <c r="A19" s="19" t="s">
        <v>69</v>
      </c>
      <c r="B19" s="16" t="s">
        <v>70</v>
      </c>
      <c r="C19" s="16" t="s">
        <v>71</v>
      </c>
      <c r="D19" s="16" t="str">
        <f>"0,6388"</f>
        <v>0,6388</v>
      </c>
      <c r="E19" s="19" t="s">
        <v>72</v>
      </c>
      <c r="F19" s="19" t="s">
        <v>64</v>
      </c>
      <c r="G19" s="16" t="s">
        <v>73</v>
      </c>
      <c r="H19" s="20" t="s">
        <v>37</v>
      </c>
      <c r="I19" s="20" t="s">
        <v>37</v>
      </c>
      <c r="J19" s="20"/>
      <c r="K19" s="19" t="str">
        <f>"215,0"</f>
        <v>215,0</v>
      </c>
      <c r="L19" s="16" t="str">
        <f>"137,3420"</f>
        <v>137,3420</v>
      </c>
      <c r="M19" s="19"/>
    </row>
    <row r="20" spans="1:13">
      <c r="A20" s="12" t="s">
        <v>75</v>
      </c>
      <c r="B20" s="13" t="s">
        <v>76</v>
      </c>
      <c r="C20" s="13" t="s">
        <v>77</v>
      </c>
      <c r="D20" s="13" t="str">
        <f>"0,6473"</f>
        <v>0,6473</v>
      </c>
      <c r="E20" s="12" t="s">
        <v>19</v>
      </c>
      <c r="F20" s="12" t="s">
        <v>50</v>
      </c>
      <c r="G20" s="13" t="s">
        <v>78</v>
      </c>
      <c r="H20" s="13" t="s">
        <v>79</v>
      </c>
      <c r="I20" s="14" t="s">
        <v>80</v>
      </c>
      <c r="J20" s="14"/>
      <c r="K20" s="12" t="str">
        <f>"180,0"</f>
        <v>180,0</v>
      </c>
      <c r="L20" s="13" t="str">
        <f>"116,5140"</f>
        <v>116,5140</v>
      </c>
      <c r="M20" s="12"/>
    </row>
    <row r="22" spans="1:13" ht="15">
      <c r="A22" s="60" t="s">
        <v>81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13">
      <c r="A23" s="17" t="s">
        <v>83</v>
      </c>
      <c r="B23" s="15" t="s">
        <v>84</v>
      </c>
      <c r="C23" s="15" t="s">
        <v>85</v>
      </c>
      <c r="D23" s="15" t="str">
        <f>"0,5922"</f>
        <v>0,5922</v>
      </c>
      <c r="E23" s="17" t="s">
        <v>19</v>
      </c>
      <c r="F23" s="17" t="s">
        <v>86</v>
      </c>
      <c r="G23" s="15" t="s">
        <v>35</v>
      </c>
      <c r="H23" s="15" t="s">
        <v>73</v>
      </c>
      <c r="I23" s="18" t="s">
        <v>36</v>
      </c>
      <c r="J23" s="18"/>
      <c r="K23" s="17" t="str">
        <f>"215,0"</f>
        <v>215,0</v>
      </c>
      <c r="L23" s="15" t="str">
        <f>"264,8318"</f>
        <v>264,8318</v>
      </c>
      <c r="M23" s="17"/>
    </row>
    <row r="25" spans="1:13" ht="15">
      <c r="A25" s="60" t="s">
        <v>87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3">
      <c r="A26" s="17" t="s">
        <v>89</v>
      </c>
      <c r="B26" s="15" t="s">
        <v>90</v>
      </c>
      <c r="C26" s="15" t="s">
        <v>91</v>
      </c>
      <c r="D26" s="15" t="str">
        <f>"0,5563"</f>
        <v>0,5563</v>
      </c>
      <c r="E26" s="17" t="s">
        <v>19</v>
      </c>
      <c r="F26" s="17" t="s">
        <v>64</v>
      </c>
      <c r="G26" s="15" t="s">
        <v>59</v>
      </c>
      <c r="H26" s="15" t="s">
        <v>92</v>
      </c>
      <c r="I26" s="15" t="s">
        <v>37</v>
      </c>
      <c r="J26" s="18" t="s">
        <v>93</v>
      </c>
      <c r="K26" s="17" t="str">
        <f>"240,0"</f>
        <v>240,0</v>
      </c>
      <c r="L26" s="15" t="str">
        <f>"133,5120"</f>
        <v>133,5120</v>
      </c>
      <c r="M26" s="17"/>
    </row>
    <row r="28" spans="1:13" ht="15">
      <c r="A28" s="60" t="s">
        <v>94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13">
      <c r="A29" s="9" t="s">
        <v>96</v>
      </c>
      <c r="B29" s="10" t="s">
        <v>97</v>
      </c>
      <c r="C29" s="10" t="s">
        <v>98</v>
      </c>
      <c r="D29" s="10" t="str">
        <f>"0,5392"</f>
        <v>0,5392</v>
      </c>
      <c r="E29" s="9" t="s">
        <v>19</v>
      </c>
      <c r="F29" s="9" t="s">
        <v>99</v>
      </c>
      <c r="G29" s="10" t="s">
        <v>35</v>
      </c>
      <c r="H29" s="10" t="s">
        <v>59</v>
      </c>
      <c r="I29" s="11" t="s">
        <v>37</v>
      </c>
      <c r="J29" s="11"/>
      <c r="K29" s="9" t="str">
        <f>"220,0"</f>
        <v>220,0</v>
      </c>
      <c r="L29" s="10" t="str">
        <f>"118,6240"</f>
        <v>118,6240</v>
      </c>
      <c r="M29" s="9"/>
    </row>
    <row r="30" spans="1:13">
      <c r="A30" s="19" t="s">
        <v>101</v>
      </c>
      <c r="B30" s="16" t="s">
        <v>102</v>
      </c>
      <c r="C30" s="16" t="s">
        <v>103</v>
      </c>
      <c r="D30" s="16" t="str">
        <f>"0,5371"</f>
        <v>0,5371</v>
      </c>
      <c r="E30" s="19" t="s">
        <v>19</v>
      </c>
      <c r="F30" s="19" t="s">
        <v>99</v>
      </c>
      <c r="G30" s="20" t="s">
        <v>104</v>
      </c>
      <c r="H30" s="16" t="s">
        <v>105</v>
      </c>
      <c r="I30" s="20" t="s">
        <v>106</v>
      </c>
      <c r="J30" s="20"/>
      <c r="K30" s="19" t="str">
        <f>"280,0"</f>
        <v>280,0</v>
      </c>
      <c r="L30" s="16" t="str">
        <f>"150,3880"</f>
        <v>150,3880</v>
      </c>
      <c r="M30" s="19"/>
    </row>
    <row r="31" spans="1:13">
      <c r="A31" s="12" t="s">
        <v>108</v>
      </c>
      <c r="B31" s="13" t="s">
        <v>109</v>
      </c>
      <c r="C31" s="13" t="s">
        <v>110</v>
      </c>
      <c r="D31" s="13" t="str">
        <f>"0,5376"</f>
        <v>0,5376</v>
      </c>
      <c r="E31" s="12" t="s">
        <v>19</v>
      </c>
      <c r="F31" s="12" t="s">
        <v>99</v>
      </c>
      <c r="G31" s="13" t="s">
        <v>111</v>
      </c>
      <c r="H31" s="14" t="s">
        <v>59</v>
      </c>
      <c r="I31" s="13" t="s">
        <v>36</v>
      </c>
      <c r="J31" s="14"/>
      <c r="K31" s="12" t="str">
        <f>"225,0"</f>
        <v>225,0</v>
      </c>
      <c r="L31" s="13" t="str">
        <f>"172,9728"</f>
        <v>172,9728</v>
      </c>
      <c r="M31" s="12"/>
    </row>
    <row r="33" spans="1:13" ht="15">
      <c r="A33" s="60" t="s">
        <v>112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</row>
    <row r="34" spans="1:13">
      <c r="A34" s="9" t="s">
        <v>114</v>
      </c>
      <c r="B34" s="10" t="s">
        <v>115</v>
      </c>
      <c r="C34" s="10" t="s">
        <v>116</v>
      </c>
      <c r="D34" s="10" t="str">
        <f>"0,5217"</f>
        <v>0,5217</v>
      </c>
      <c r="E34" s="9" t="s">
        <v>19</v>
      </c>
      <c r="F34" s="9" t="s">
        <v>117</v>
      </c>
      <c r="G34" s="10" t="s">
        <v>67</v>
      </c>
      <c r="H34" s="10" t="s">
        <v>118</v>
      </c>
      <c r="I34" s="10" t="s">
        <v>119</v>
      </c>
      <c r="J34" s="11"/>
      <c r="K34" s="9" t="str">
        <f>"282,5"</f>
        <v>282,5</v>
      </c>
      <c r="L34" s="10" t="str">
        <f>"147,3803"</f>
        <v>147,3803</v>
      </c>
      <c r="M34" s="9"/>
    </row>
    <row r="35" spans="1:13">
      <c r="A35" s="19" t="s">
        <v>114</v>
      </c>
      <c r="B35" s="16" t="s">
        <v>120</v>
      </c>
      <c r="C35" s="16" t="s">
        <v>116</v>
      </c>
      <c r="D35" s="16" t="str">
        <f>"0,5217"</f>
        <v>0,5217</v>
      </c>
      <c r="E35" s="19" t="s">
        <v>19</v>
      </c>
      <c r="F35" s="19" t="s">
        <v>117</v>
      </c>
      <c r="G35" s="16" t="s">
        <v>67</v>
      </c>
      <c r="H35" s="16" t="s">
        <v>118</v>
      </c>
      <c r="I35" s="16" t="s">
        <v>119</v>
      </c>
      <c r="J35" s="20"/>
      <c r="K35" s="19" t="str">
        <f>"282,5"</f>
        <v>282,5</v>
      </c>
      <c r="L35" s="16" t="str">
        <f>"147,3803"</f>
        <v>147,3803</v>
      </c>
      <c r="M35" s="19"/>
    </row>
    <row r="36" spans="1:13">
      <c r="A36" s="12" t="s">
        <v>122</v>
      </c>
      <c r="B36" s="13" t="s">
        <v>123</v>
      </c>
      <c r="C36" s="13" t="s">
        <v>124</v>
      </c>
      <c r="D36" s="13" t="str">
        <f>"0,5273"</f>
        <v>0,5273</v>
      </c>
      <c r="E36" s="12" t="s">
        <v>19</v>
      </c>
      <c r="F36" s="12" t="s">
        <v>64</v>
      </c>
      <c r="G36" s="13" t="s">
        <v>79</v>
      </c>
      <c r="H36" s="13" t="s">
        <v>125</v>
      </c>
      <c r="I36" s="13" t="s">
        <v>126</v>
      </c>
      <c r="J36" s="14"/>
      <c r="K36" s="12" t="str">
        <f>"205,0"</f>
        <v>205,0</v>
      </c>
      <c r="L36" s="13" t="str">
        <f>"201,6000"</f>
        <v>201,6000</v>
      </c>
      <c r="M36" s="12" t="s">
        <v>127</v>
      </c>
    </row>
    <row r="38" spans="1:13" ht="15">
      <c r="E38" s="21" t="s">
        <v>128</v>
      </c>
    </row>
    <row r="39" spans="1:13" ht="15">
      <c r="E39" s="21" t="s">
        <v>129</v>
      </c>
    </row>
    <row r="40" spans="1:13" ht="15">
      <c r="E40" s="21" t="s">
        <v>130</v>
      </c>
    </row>
    <row r="41" spans="1:13">
      <c r="E41" s="4" t="s">
        <v>131</v>
      </c>
    </row>
    <row r="42" spans="1:13">
      <c r="E42" s="4" t="s">
        <v>132</v>
      </c>
    </row>
    <row r="43" spans="1:13">
      <c r="E43" s="4" t="s">
        <v>133</v>
      </c>
    </row>
    <row r="46" spans="1:13" ht="18">
      <c r="A46" s="22" t="s">
        <v>134</v>
      </c>
      <c r="B46" s="23"/>
    </row>
    <row r="47" spans="1:13" ht="15">
      <c r="A47" s="24" t="s">
        <v>135</v>
      </c>
      <c r="B47" s="25"/>
    </row>
    <row r="48" spans="1:13" ht="14.25">
      <c r="A48" s="27"/>
      <c r="B48" s="28" t="s">
        <v>136</v>
      </c>
    </row>
    <row r="49" spans="1:5" ht="15">
      <c r="A49" s="29" t="s">
        <v>0</v>
      </c>
      <c r="B49" s="29" t="s">
        <v>137</v>
      </c>
      <c r="C49" s="29" t="s">
        <v>138</v>
      </c>
      <c r="D49" s="29" t="s">
        <v>139</v>
      </c>
      <c r="E49" s="29" t="s">
        <v>12</v>
      </c>
    </row>
    <row r="50" spans="1:5">
      <c r="A50" s="26" t="s">
        <v>15</v>
      </c>
      <c r="B50" s="5" t="s">
        <v>140</v>
      </c>
      <c r="C50" s="5" t="s">
        <v>141</v>
      </c>
      <c r="D50" s="5" t="s">
        <v>23</v>
      </c>
      <c r="E50" s="30" t="s">
        <v>142</v>
      </c>
    </row>
    <row r="52" spans="1:5" ht="14.25">
      <c r="A52" s="27"/>
      <c r="B52" s="28" t="s">
        <v>143</v>
      </c>
    </row>
    <row r="53" spans="1:5" ht="15">
      <c r="A53" s="29" t="s">
        <v>0</v>
      </c>
      <c r="B53" s="29" t="s">
        <v>137</v>
      </c>
      <c r="C53" s="29" t="s">
        <v>138</v>
      </c>
      <c r="D53" s="29" t="s">
        <v>139</v>
      </c>
      <c r="E53" s="29" t="s">
        <v>12</v>
      </c>
    </row>
    <row r="54" spans="1:5">
      <c r="A54" s="26" t="s">
        <v>24</v>
      </c>
      <c r="B54" s="5" t="s">
        <v>143</v>
      </c>
      <c r="C54" s="5" t="s">
        <v>141</v>
      </c>
      <c r="D54" s="5" t="s">
        <v>29</v>
      </c>
      <c r="E54" s="30" t="s">
        <v>144</v>
      </c>
    </row>
    <row r="57" spans="1:5" ht="15">
      <c r="A57" s="24" t="s">
        <v>145</v>
      </c>
      <c r="B57" s="25"/>
    </row>
    <row r="58" spans="1:5" ht="14.25">
      <c r="A58" s="27"/>
      <c r="B58" s="28" t="s">
        <v>136</v>
      </c>
    </row>
    <row r="59" spans="1:5" ht="15">
      <c r="A59" s="29" t="s">
        <v>0</v>
      </c>
      <c r="B59" s="29" t="s">
        <v>137</v>
      </c>
      <c r="C59" s="29" t="s">
        <v>138</v>
      </c>
      <c r="D59" s="29" t="s">
        <v>139</v>
      </c>
      <c r="E59" s="29" t="s">
        <v>12</v>
      </c>
    </row>
    <row r="60" spans="1:5">
      <c r="A60" s="26" t="s">
        <v>55</v>
      </c>
      <c r="B60" s="5" t="s">
        <v>146</v>
      </c>
      <c r="C60" s="5" t="s">
        <v>147</v>
      </c>
      <c r="D60" s="5" t="s">
        <v>43</v>
      </c>
      <c r="E60" s="30" t="s">
        <v>148</v>
      </c>
    </row>
    <row r="62" spans="1:5" ht="14.25">
      <c r="A62" s="27"/>
      <c r="B62" s="28" t="s">
        <v>149</v>
      </c>
    </row>
    <row r="63" spans="1:5" ht="15">
      <c r="A63" s="29" t="s">
        <v>0</v>
      </c>
      <c r="B63" s="29" t="s">
        <v>137</v>
      </c>
      <c r="C63" s="29" t="s">
        <v>138</v>
      </c>
      <c r="D63" s="29" t="s">
        <v>139</v>
      </c>
      <c r="E63" s="29" t="s">
        <v>12</v>
      </c>
    </row>
    <row r="64" spans="1:5">
      <c r="A64" s="26" t="s">
        <v>31</v>
      </c>
      <c r="B64" s="5" t="s">
        <v>150</v>
      </c>
      <c r="C64" s="5" t="s">
        <v>151</v>
      </c>
      <c r="D64" s="5" t="s">
        <v>36</v>
      </c>
      <c r="E64" s="30" t="s">
        <v>152</v>
      </c>
    </row>
    <row r="65" spans="1:5">
      <c r="A65" s="26" t="s">
        <v>113</v>
      </c>
      <c r="B65" s="5" t="s">
        <v>150</v>
      </c>
      <c r="C65" s="5" t="s">
        <v>153</v>
      </c>
      <c r="D65" s="5" t="s">
        <v>119</v>
      </c>
      <c r="E65" s="30" t="s">
        <v>154</v>
      </c>
    </row>
    <row r="66" spans="1:5">
      <c r="A66" s="26" t="s">
        <v>95</v>
      </c>
      <c r="B66" s="5" t="s">
        <v>150</v>
      </c>
      <c r="C66" s="5" t="s">
        <v>155</v>
      </c>
      <c r="D66" s="5" t="s">
        <v>59</v>
      </c>
      <c r="E66" s="30" t="s">
        <v>156</v>
      </c>
    </row>
    <row r="68" spans="1:5" ht="14.25">
      <c r="A68" s="27"/>
      <c r="B68" s="28" t="s">
        <v>143</v>
      </c>
    </row>
    <row r="69" spans="1:5" ht="15">
      <c r="A69" s="29" t="s">
        <v>0</v>
      </c>
      <c r="B69" s="29" t="s">
        <v>137</v>
      </c>
      <c r="C69" s="29" t="s">
        <v>138</v>
      </c>
      <c r="D69" s="29" t="s">
        <v>139</v>
      </c>
      <c r="E69" s="29" t="s">
        <v>12</v>
      </c>
    </row>
    <row r="70" spans="1:5">
      <c r="A70" s="26" t="s">
        <v>38</v>
      </c>
      <c r="B70" s="5" t="s">
        <v>143</v>
      </c>
      <c r="C70" s="5" t="s">
        <v>151</v>
      </c>
      <c r="D70" s="5" t="s">
        <v>36</v>
      </c>
      <c r="E70" s="30" t="s">
        <v>157</v>
      </c>
    </row>
    <row r="71" spans="1:5">
      <c r="A71" s="26" t="s">
        <v>60</v>
      </c>
      <c r="B71" s="5" t="s">
        <v>143</v>
      </c>
      <c r="C71" s="5" t="s">
        <v>147</v>
      </c>
      <c r="D71" s="5" t="s">
        <v>66</v>
      </c>
      <c r="E71" s="30" t="s">
        <v>158</v>
      </c>
    </row>
    <row r="72" spans="1:5">
      <c r="A72" s="26" t="s">
        <v>100</v>
      </c>
      <c r="B72" s="5" t="s">
        <v>143</v>
      </c>
      <c r="C72" s="5" t="s">
        <v>155</v>
      </c>
      <c r="D72" s="5" t="s">
        <v>105</v>
      </c>
      <c r="E72" s="30" t="s">
        <v>159</v>
      </c>
    </row>
    <row r="73" spans="1:5">
      <c r="A73" s="26" t="s">
        <v>113</v>
      </c>
      <c r="B73" s="5" t="s">
        <v>143</v>
      </c>
      <c r="C73" s="5" t="s">
        <v>153</v>
      </c>
      <c r="D73" s="5" t="s">
        <v>119</v>
      </c>
      <c r="E73" s="30" t="s">
        <v>154</v>
      </c>
    </row>
    <row r="74" spans="1:5">
      <c r="A74" s="26" t="s">
        <v>68</v>
      </c>
      <c r="B74" s="5" t="s">
        <v>143</v>
      </c>
      <c r="C74" s="5" t="s">
        <v>147</v>
      </c>
      <c r="D74" s="5" t="s">
        <v>73</v>
      </c>
      <c r="E74" s="30" t="s">
        <v>160</v>
      </c>
    </row>
    <row r="75" spans="1:5">
      <c r="A75" s="26" t="s">
        <v>88</v>
      </c>
      <c r="B75" s="5" t="s">
        <v>143</v>
      </c>
      <c r="C75" s="5" t="s">
        <v>161</v>
      </c>
      <c r="D75" s="5" t="s">
        <v>37</v>
      </c>
      <c r="E75" s="30" t="s">
        <v>162</v>
      </c>
    </row>
    <row r="76" spans="1:5">
      <c r="A76" s="26" t="s">
        <v>74</v>
      </c>
      <c r="B76" s="5" t="s">
        <v>143</v>
      </c>
      <c r="C76" s="5" t="s">
        <v>147</v>
      </c>
      <c r="D76" s="5" t="s">
        <v>79</v>
      </c>
      <c r="E76" s="30" t="s">
        <v>163</v>
      </c>
    </row>
    <row r="78" spans="1:5" ht="14.25">
      <c r="A78" s="27"/>
      <c r="B78" s="28" t="s">
        <v>164</v>
      </c>
    </row>
    <row r="79" spans="1:5" ht="15">
      <c r="A79" s="29" t="s">
        <v>0</v>
      </c>
      <c r="B79" s="29" t="s">
        <v>137</v>
      </c>
      <c r="C79" s="29" t="s">
        <v>138</v>
      </c>
      <c r="D79" s="29" t="s">
        <v>139</v>
      </c>
      <c r="E79" s="29" t="s">
        <v>12</v>
      </c>
    </row>
    <row r="80" spans="1:5">
      <c r="A80" s="26" t="s">
        <v>82</v>
      </c>
      <c r="B80" s="5" t="s">
        <v>165</v>
      </c>
      <c r="C80" s="5" t="s">
        <v>166</v>
      </c>
      <c r="D80" s="5" t="s">
        <v>73</v>
      </c>
      <c r="E80" s="30" t="s">
        <v>167</v>
      </c>
    </row>
    <row r="81" spans="1:5">
      <c r="A81" s="26" t="s">
        <v>121</v>
      </c>
      <c r="B81" s="5" t="s">
        <v>168</v>
      </c>
      <c r="C81" s="5" t="s">
        <v>153</v>
      </c>
      <c r="D81" s="5" t="s">
        <v>126</v>
      </c>
      <c r="E81" s="30" t="s">
        <v>169</v>
      </c>
    </row>
    <row r="82" spans="1:5">
      <c r="A82" s="26" t="s">
        <v>107</v>
      </c>
      <c r="B82" s="5" t="s">
        <v>170</v>
      </c>
      <c r="C82" s="5" t="s">
        <v>155</v>
      </c>
      <c r="D82" s="5" t="s">
        <v>36</v>
      </c>
      <c r="E82" s="30" t="s">
        <v>171</v>
      </c>
    </row>
    <row r="83" spans="1:5">
      <c r="A83" s="26" t="s">
        <v>46</v>
      </c>
      <c r="B83" s="5" t="s">
        <v>172</v>
      </c>
      <c r="C83" s="5" t="s">
        <v>173</v>
      </c>
      <c r="D83" s="5" t="s">
        <v>53</v>
      </c>
      <c r="E83" s="30" t="s">
        <v>174</v>
      </c>
    </row>
  </sheetData>
  <mergeCells count="19">
    <mergeCell ref="D3:D4"/>
    <mergeCell ref="K3:K4"/>
    <mergeCell ref="L3:L4"/>
    <mergeCell ref="A1:M2"/>
    <mergeCell ref="G3:J3"/>
    <mergeCell ref="A3:A4"/>
    <mergeCell ref="B3:B4"/>
    <mergeCell ref="C3:C4"/>
    <mergeCell ref="M3:M4"/>
    <mergeCell ref="F3:F4"/>
    <mergeCell ref="E3:E4"/>
    <mergeCell ref="A25:L25"/>
    <mergeCell ref="A28:L28"/>
    <mergeCell ref="A33:L33"/>
    <mergeCell ref="A5:L5"/>
    <mergeCell ref="A9:L9"/>
    <mergeCell ref="A13:L13"/>
    <mergeCell ref="A16:L16"/>
    <mergeCell ref="A22:L22"/>
  </mergeCells>
  <phoneticPr fontId="0" type="noConversion"/>
  <pageMargins left="0.19685039370078741" right="0.47244094488188981" top="0.43307086614173229" bottom="0.47244094488188981" header="0.51181102362204722" footer="0.51181102362204722"/>
  <pageSetup scale="65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workbookViewId="0">
      <selection sqref="A1:K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22" style="4" bestFit="1" customWidth="1"/>
    <col min="6" max="6" width="15.28515625" style="4" bestFit="1" customWidth="1"/>
    <col min="7" max="7" width="6.85546875" style="5" bestFit="1" customWidth="1"/>
    <col min="8" max="8" width="4.5703125" style="39" bestFit="1" customWidth="1"/>
    <col min="9" max="9" width="6.5703125" style="4" bestFit="1" customWidth="1"/>
    <col min="10" max="10" width="9.5703125" style="5" bestFit="1" customWidth="1"/>
    <col min="11" max="11" width="15" style="4" bestFit="1" customWidth="1"/>
    <col min="12" max="16384" width="9.140625" style="3"/>
  </cols>
  <sheetData>
    <row r="1" spans="1:11" s="2" customFormat="1" ht="29.1" customHeight="1">
      <c r="A1" s="46" t="s">
        <v>1070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8</v>
      </c>
      <c r="D3" s="56" t="s">
        <v>907</v>
      </c>
      <c r="E3" s="56" t="s">
        <v>1</v>
      </c>
      <c r="F3" s="57" t="s">
        <v>13</v>
      </c>
      <c r="G3" s="52" t="s">
        <v>1015</v>
      </c>
      <c r="H3" s="56"/>
      <c r="I3" s="61" t="s">
        <v>175</v>
      </c>
      <c r="J3" s="56" t="s">
        <v>6</v>
      </c>
      <c r="K3" s="59" t="s">
        <v>5</v>
      </c>
    </row>
    <row r="4" spans="1:11" s="1" customFormat="1" ht="23.25" customHeight="1" thickBot="1">
      <c r="A4" s="53"/>
      <c r="B4" s="55"/>
      <c r="C4" s="55"/>
      <c r="D4" s="55"/>
      <c r="E4" s="55"/>
      <c r="F4" s="58"/>
      <c r="G4" s="34" t="s">
        <v>1014</v>
      </c>
      <c r="H4" s="41" t="s">
        <v>1013</v>
      </c>
      <c r="I4" s="62"/>
      <c r="J4" s="55"/>
      <c r="K4" s="63"/>
    </row>
    <row r="5" spans="1:11" s="5" customFormat="1" ht="15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1" s="5" customFormat="1">
      <c r="A6" s="17" t="s">
        <v>1069</v>
      </c>
      <c r="B6" s="15" t="s">
        <v>1068</v>
      </c>
      <c r="C6" s="15" t="s">
        <v>49</v>
      </c>
      <c r="D6" s="15" t="str">
        <f>"0,6962"</f>
        <v>0,6962</v>
      </c>
      <c r="E6" s="17" t="s">
        <v>19</v>
      </c>
      <c r="F6" s="17" t="s">
        <v>64</v>
      </c>
      <c r="G6" s="15" t="s">
        <v>1067</v>
      </c>
      <c r="H6" s="45" t="s">
        <v>1066</v>
      </c>
      <c r="I6" s="17" t="str">
        <f>"3075,0"</f>
        <v>3075,0</v>
      </c>
      <c r="J6" s="15" t="str">
        <f>"2140,6613"</f>
        <v>2140,6613</v>
      </c>
      <c r="K6" s="17"/>
    </row>
    <row r="7" spans="1:11" s="5" customFormat="1">
      <c r="A7" s="4"/>
      <c r="E7" s="4"/>
      <c r="F7" s="4"/>
      <c r="H7" s="39"/>
      <c r="I7" s="4"/>
      <c r="K7" s="4"/>
    </row>
    <row r="8" spans="1:11" ht="15">
      <c r="A8" s="60" t="s">
        <v>54</v>
      </c>
      <c r="B8" s="60"/>
      <c r="C8" s="60"/>
      <c r="D8" s="60"/>
      <c r="E8" s="60"/>
      <c r="F8" s="60"/>
      <c r="G8" s="60"/>
      <c r="H8" s="60"/>
      <c r="I8" s="60"/>
      <c r="J8" s="60"/>
    </row>
    <row r="9" spans="1:11">
      <c r="A9" s="17" t="s">
        <v>588</v>
      </c>
      <c r="B9" s="15" t="s">
        <v>589</v>
      </c>
      <c r="C9" s="15" t="s">
        <v>590</v>
      </c>
      <c r="D9" s="15" t="str">
        <f>"0,6664"</f>
        <v>0,6664</v>
      </c>
      <c r="E9" s="17" t="s">
        <v>19</v>
      </c>
      <c r="F9" s="17" t="s">
        <v>260</v>
      </c>
      <c r="G9" s="15" t="s">
        <v>1065</v>
      </c>
      <c r="H9" s="45" t="s">
        <v>1064</v>
      </c>
      <c r="I9" s="17" t="str">
        <f>"2000,0"</f>
        <v>2000,0</v>
      </c>
      <c r="J9" s="15" t="str">
        <f>"1332,8000"</f>
        <v>1332,8000</v>
      </c>
      <c r="K9" s="17"/>
    </row>
    <row r="11" spans="1:11" ht="15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1">
      <c r="A12" s="17" t="s">
        <v>1063</v>
      </c>
      <c r="B12" s="15" t="s">
        <v>1062</v>
      </c>
      <c r="C12" s="15" t="s">
        <v>1061</v>
      </c>
      <c r="D12" s="15" t="str">
        <f>"0,6217"</f>
        <v>0,6217</v>
      </c>
      <c r="E12" s="17" t="s">
        <v>19</v>
      </c>
      <c r="F12" s="17" t="s">
        <v>64</v>
      </c>
      <c r="G12" s="15" t="s">
        <v>1060</v>
      </c>
      <c r="H12" s="45" t="s">
        <v>222</v>
      </c>
      <c r="I12" s="17" t="str">
        <f>"2625,0"</f>
        <v>2625,0</v>
      </c>
      <c r="J12" s="15" t="str">
        <f>"1632,0937"</f>
        <v>1632,0937</v>
      </c>
      <c r="K12" s="17" t="s">
        <v>1059</v>
      </c>
    </row>
    <row r="14" spans="1:11" ht="15">
      <c r="A14" s="60" t="s">
        <v>87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1">
      <c r="A15" s="9" t="s">
        <v>869</v>
      </c>
      <c r="B15" s="10" t="s">
        <v>616</v>
      </c>
      <c r="C15" s="10" t="s">
        <v>617</v>
      </c>
      <c r="D15" s="10" t="str">
        <f>"0,6043"</f>
        <v>0,6043</v>
      </c>
      <c r="E15" s="9" t="s">
        <v>19</v>
      </c>
      <c r="F15" s="9" t="s">
        <v>260</v>
      </c>
      <c r="G15" s="10" t="s">
        <v>751</v>
      </c>
      <c r="H15" s="43" t="s">
        <v>1011</v>
      </c>
      <c r="I15" s="9" t="str">
        <f>"2867,5"</f>
        <v>2867,5</v>
      </c>
      <c r="J15" s="10" t="str">
        <f>"1732,8303"</f>
        <v>1732,8303</v>
      </c>
      <c r="K15" s="9"/>
    </row>
    <row r="16" spans="1:11">
      <c r="A16" s="19" t="s">
        <v>1058</v>
      </c>
      <c r="B16" s="16" t="s">
        <v>1057</v>
      </c>
      <c r="C16" s="16" t="s">
        <v>1052</v>
      </c>
      <c r="D16" s="16" t="str">
        <f>"0,6104"</f>
        <v>0,6104</v>
      </c>
      <c r="E16" s="19" t="s">
        <v>19</v>
      </c>
      <c r="F16" s="19" t="s">
        <v>247</v>
      </c>
      <c r="G16" s="16" t="s">
        <v>1045</v>
      </c>
      <c r="H16" s="44" t="s">
        <v>1051</v>
      </c>
      <c r="I16" s="19" t="str">
        <f>"2497,5"</f>
        <v>2497,5</v>
      </c>
      <c r="J16" s="16" t="str">
        <f>"1524,4741"</f>
        <v>1524,4741</v>
      </c>
      <c r="K16" s="19"/>
    </row>
    <row r="17" spans="1:11">
      <c r="A17" s="19" t="s">
        <v>1056</v>
      </c>
      <c r="B17" s="16" t="s">
        <v>872</v>
      </c>
      <c r="C17" s="16" t="s">
        <v>873</v>
      </c>
      <c r="D17" s="16" t="str">
        <f>"0,5848"</f>
        <v>0,5848</v>
      </c>
      <c r="E17" s="19" t="s">
        <v>19</v>
      </c>
      <c r="F17" s="19" t="s">
        <v>64</v>
      </c>
      <c r="G17" s="16" t="s">
        <v>1048</v>
      </c>
      <c r="H17" s="44" t="s">
        <v>1055</v>
      </c>
      <c r="I17" s="19" t="str">
        <f>"2200,0"</f>
        <v>2200,0</v>
      </c>
      <c r="J17" s="16" t="str">
        <f>"1286,5600"</f>
        <v>1286,5600</v>
      </c>
      <c r="K17" s="19"/>
    </row>
    <row r="18" spans="1:11">
      <c r="A18" s="19" t="s">
        <v>1054</v>
      </c>
      <c r="B18" s="16" t="s">
        <v>1053</v>
      </c>
      <c r="C18" s="16" t="s">
        <v>1052</v>
      </c>
      <c r="D18" s="16" t="str">
        <f>"0,6104"</f>
        <v>0,6104</v>
      </c>
      <c r="E18" s="19" t="s">
        <v>19</v>
      </c>
      <c r="F18" s="19" t="s">
        <v>247</v>
      </c>
      <c r="G18" s="16" t="s">
        <v>1045</v>
      </c>
      <c r="H18" s="44" t="s">
        <v>1051</v>
      </c>
      <c r="I18" s="19" t="str">
        <f>"2497,5"</f>
        <v>2497,5</v>
      </c>
      <c r="J18" s="16" t="str">
        <f>"1539,7188"</f>
        <v>1539,7188</v>
      </c>
      <c r="K18" s="19"/>
    </row>
    <row r="19" spans="1:11">
      <c r="A19" s="19" t="s">
        <v>1050</v>
      </c>
      <c r="B19" s="16" t="s">
        <v>1049</v>
      </c>
      <c r="C19" s="16" t="s">
        <v>609</v>
      </c>
      <c r="D19" s="16" t="str">
        <f>"0,5859"</f>
        <v>0,5859</v>
      </c>
      <c r="E19" s="19" t="s">
        <v>19</v>
      </c>
      <c r="F19" s="19" t="s">
        <v>737</v>
      </c>
      <c r="G19" s="16" t="s">
        <v>1048</v>
      </c>
      <c r="H19" s="44" t="s">
        <v>1047</v>
      </c>
      <c r="I19" s="19" t="str">
        <f>"1500,0"</f>
        <v>1500,0</v>
      </c>
      <c r="J19" s="16" t="str">
        <f>"878,7750"</f>
        <v>878,7750</v>
      </c>
      <c r="K19" s="19"/>
    </row>
    <row r="20" spans="1:11">
      <c r="A20" s="12" t="s">
        <v>646</v>
      </c>
      <c r="B20" s="13" t="s">
        <v>1046</v>
      </c>
      <c r="C20" s="13" t="s">
        <v>648</v>
      </c>
      <c r="D20" s="13" t="str">
        <f>"0,6075"</f>
        <v>0,6075</v>
      </c>
      <c r="E20" s="12" t="s">
        <v>19</v>
      </c>
      <c r="F20" s="12" t="s">
        <v>64</v>
      </c>
      <c r="G20" s="13" t="s">
        <v>1045</v>
      </c>
      <c r="H20" s="42" t="s">
        <v>1044</v>
      </c>
      <c r="I20" s="12" t="str">
        <f>"1202,5"</f>
        <v>1202,5</v>
      </c>
      <c r="J20" s="13" t="str">
        <f>"1017,6126"</f>
        <v>1017,6126</v>
      </c>
      <c r="K20" s="12"/>
    </row>
    <row r="22" spans="1:11" ht="15">
      <c r="A22" s="60" t="s">
        <v>308</v>
      </c>
      <c r="B22" s="60"/>
      <c r="C22" s="60"/>
      <c r="D22" s="60"/>
      <c r="E22" s="60"/>
      <c r="F22" s="60"/>
      <c r="G22" s="60"/>
      <c r="H22" s="60"/>
      <c r="I22" s="60"/>
      <c r="J22" s="60"/>
    </row>
    <row r="23" spans="1:11">
      <c r="A23" s="9" t="s">
        <v>1042</v>
      </c>
      <c r="B23" s="10" t="s">
        <v>1043</v>
      </c>
      <c r="C23" s="10" t="s">
        <v>1040</v>
      </c>
      <c r="D23" s="10" t="str">
        <f>"0,5364"</f>
        <v>0,5364</v>
      </c>
      <c r="E23" s="9" t="s">
        <v>690</v>
      </c>
      <c r="F23" s="9" t="s">
        <v>64</v>
      </c>
      <c r="G23" s="10" t="s">
        <v>182</v>
      </c>
      <c r="H23" s="43" t="s">
        <v>1039</v>
      </c>
      <c r="I23" s="9" t="str">
        <f>"0.00"</f>
        <v>0.00</v>
      </c>
      <c r="J23" s="10" t="str">
        <f>"0,0000"</f>
        <v>0,0000</v>
      </c>
      <c r="K23" s="9"/>
    </row>
    <row r="24" spans="1:11">
      <c r="A24" s="12" t="s">
        <v>1042</v>
      </c>
      <c r="B24" s="13" t="s">
        <v>1041</v>
      </c>
      <c r="C24" s="13" t="s">
        <v>1040</v>
      </c>
      <c r="D24" s="13" t="str">
        <f>"0,5364"</f>
        <v>0,5364</v>
      </c>
      <c r="E24" s="12" t="s">
        <v>690</v>
      </c>
      <c r="F24" s="12" t="s">
        <v>64</v>
      </c>
      <c r="G24" s="13" t="s">
        <v>182</v>
      </c>
      <c r="H24" s="42" t="s">
        <v>1039</v>
      </c>
      <c r="I24" s="12" t="str">
        <f>"0.00"</f>
        <v>0.00</v>
      </c>
      <c r="J24" s="13" t="str">
        <f>"0,0000"</f>
        <v>0,0000</v>
      </c>
      <c r="K24" s="12"/>
    </row>
    <row r="26" spans="1:11" ht="15">
      <c r="E26" s="21" t="s">
        <v>128</v>
      </c>
    </row>
    <row r="27" spans="1:11" ht="15">
      <c r="E27" s="21" t="s">
        <v>129</v>
      </c>
    </row>
    <row r="28" spans="1:11" ht="15">
      <c r="E28" s="21" t="s">
        <v>130</v>
      </c>
    </row>
    <row r="29" spans="1:11">
      <c r="E29" s="4" t="s">
        <v>131</v>
      </c>
    </row>
    <row r="30" spans="1:11">
      <c r="E30" s="4" t="s">
        <v>132</v>
      </c>
    </row>
    <row r="31" spans="1:11">
      <c r="E31" s="4" t="s">
        <v>133</v>
      </c>
    </row>
    <row r="34" spans="1:5" s="3" customFormat="1" ht="18">
      <c r="A34" s="22" t="s">
        <v>134</v>
      </c>
      <c r="B34" s="23"/>
      <c r="C34" s="5"/>
      <c r="D34" s="5"/>
      <c r="E34" s="4"/>
    </row>
    <row r="35" spans="1:5" s="3" customFormat="1" ht="15">
      <c r="A35" s="24" t="s">
        <v>145</v>
      </c>
      <c r="B35" s="33"/>
      <c r="C35" s="5"/>
      <c r="D35" s="5"/>
      <c r="E35" s="4"/>
    </row>
    <row r="36" spans="1:5" s="3" customFormat="1" ht="14.25">
      <c r="A36" s="27"/>
      <c r="B36" s="28" t="s">
        <v>143</v>
      </c>
      <c r="C36" s="5"/>
      <c r="D36" s="5"/>
      <c r="E36" s="4"/>
    </row>
    <row r="37" spans="1:5" s="3" customFormat="1" ht="15">
      <c r="A37" s="29" t="s">
        <v>0</v>
      </c>
      <c r="B37" s="29" t="s">
        <v>137</v>
      </c>
      <c r="C37" s="29" t="s">
        <v>138</v>
      </c>
      <c r="D37" s="29" t="s">
        <v>139</v>
      </c>
      <c r="E37" s="29" t="s">
        <v>907</v>
      </c>
    </row>
    <row r="38" spans="1:5" s="3" customFormat="1">
      <c r="A38" s="26" t="s">
        <v>1038</v>
      </c>
      <c r="B38" s="5" t="s">
        <v>143</v>
      </c>
      <c r="C38" s="5" t="s">
        <v>173</v>
      </c>
      <c r="D38" s="5" t="s">
        <v>1037</v>
      </c>
      <c r="E38" s="30" t="s">
        <v>1036</v>
      </c>
    </row>
    <row r="39" spans="1:5" s="3" customFormat="1">
      <c r="A39" s="26" t="s">
        <v>614</v>
      </c>
      <c r="B39" s="5" t="s">
        <v>143</v>
      </c>
      <c r="C39" s="5" t="s">
        <v>161</v>
      </c>
      <c r="D39" s="5" t="s">
        <v>1035</v>
      </c>
      <c r="E39" s="30" t="s">
        <v>1034</v>
      </c>
    </row>
    <row r="40" spans="1:5" s="3" customFormat="1">
      <c r="A40" s="26" t="s">
        <v>1033</v>
      </c>
      <c r="B40" s="5" t="s">
        <v>143</v>
      </c>
      <c r="C40" s="5" t="s">
        <v>166</v>
      </c>
      <c r="D40" s="5" t="s">
        <v>1032</v>
      </c>
      <c r="E40" s="30" t="s">
        <v>1031</v>
      </c>
    </row>
    <row r="41" spans="1:5" s="3" customFormat="1">
      <c r="A41" s="26" t="s">
        <v>1025</v>
      </c>
      <c r="B41" s="5" t="s">
        <v>143</v>
      </c>
      <c r="C41" s="5" t="s">
        <v>161</v>
      </c>
      <c r="D41" s="5" t="s">
        <v>1024</v>
      </c>
      <c r="E41" s="30" t="s">
        <v>1030</v>
      </c>
    </row>
    <row r="42" spans="1:5" s="3" customFormat="1">
      <c r="A42" s="26" t="s">
        <v>587</v>
      </c>
      <c r="B42" s="5" t="s">
        <v>143</v>
      </c>
      <c r="C42" s="5" t="s">
        <v>147</v>
      </c>
      <c r="D42" s="5" t="s">
        <v>1029</v>
      </c>
      <c r="E42" s="30" t="s">
        <v>1028</v>
      </c>
    </row>
    <row r="43" spans="1:5" s="3" customFormat="1">
      <c r="A43" s="26" t="s">
        <v>870</v>
      </c>
      <c r="B43" s="5" t="s">
        <v>143</v>
      </c>
      <c r="C43" s="5" t="s">
        <v>161</v>
      </c>
      <c r="D43" s="5" t="s">
        <v>1027</v>
      </c>
      <c r="E43" s="30" t="s">
        <v>1026</v>
      </c>
    </row>
    <row r="45" spans="1:5" s="3" customFormat="1" ht="14.25">
      <c r="A45" s="27"/>
      <c r="B45" s="28" t="s">
        <v>164</v>
      </c>
      <c r="C45" s="5"/>
      <c r="D45" s="5"/>
      <c r="E45" s="4"/>
    </row>
    <row r="46" spans="1:5" s="3" customFormat="1" ht="15">
      <c r="A46" s="29" t="s">
        <v>0</v>
      </c>
      <c r="B46" s="29" t="s">
        <v>137</v>
      </c>
      <c r="C46" s="29" t="s">
        <v>138</v>
      </c>
      <c r="D46" s="29" t="s">
        <v>139</v>
      </c>
      <c r="E46" s="29" t="s">
        <v>907</v>
      </c>
    </row>
    <row r="47" spans="1:5" s="3" customFormat="1">
      <c r="A47" s="26" t="s">
        <v>1025</v>
      </c>
      <c r="B47" s="5" t="s">
        <v>1019</v>
      </c>
      <c r="C47" s="5" t="s">
        <v>161</v>
      </c>
      <c r="D47" s="5" t="s">
        <v>1024</v>
      </c>
      <c r="E47" s="30" t="s">
        <v>1023</v>
      </c>
    </row>
    <row r="48" spans="1:5" s="3" customFormat="1">
      <c r="A48" s="26" t="s">
        <v>645</v>
      </c>
      <c r="B48" s="5" t="s">
        <v>1022</v>
      </c>
      <c r="C48" s="5" t="s">
        <v>161</v>
      </c>
      <c r="D48" s="5" t="s">
        <v>1021</v>
      </c>
      <c r="E48" s="30" t="s">
        <v>1020</v>
      </c>
    </row>
    <row r="49" spans="1:5" s="3" customFormat="1">
      <c r="A49" s="26" t="s">
        <v>734</v>
      </c>
      <c r="B49" s="5" t="s">
        <v>1019</v>
      </c>
      <c r="C49" s="5" t="s">
        <v>161</v>
      </c>
      <c r="D49" s="5" t="s">
        <v>1018</v>
      </c>
      <c r="E49" s="30" t="s">
        <v>1017</v>
      </c>
    </row>
  </sheetData>
  <mergeCells count="16">
    <mergeCell ref="A14:J14"/>
    <mergeCell ref="A22:J22"/>
    <mergeCell ref="I3:I4"/>
    <mergeCell ref="J3:J4"/>
    <mergeCell ref="K3:K4"/>
    <mergeCell ref="A5:J5"/>
    <mergeCell ref="A8:J8"/>
    <mergeCell ref="A11:J11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1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7" width="6.85546875" style="5" bestFit="1" customWidth="1"/>
    <col min="8" max="8" width="4.5703125" style="39" bestFit="1" customWidth="1"/>
    <col min="9" max="9" width="6.5703125" style="4" bestFit="1" customWidth="1"/>
    <col min="10" max="10" width="9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46" t="s">
        <v>1099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8</v>
      </c>
      <c r="D3" s="56" t="s">
        <v>907</v>
      </c>
      <c r="E3" s="56" t="s">
        <v>1</v>
      </c>
      <c r="F3" s="57" t="s">
        <v>13</v>
      </c>
      <c r="G3" s="52" t="s">
        <v>1015</v>
      </c>
      <c r="H3" s="56"/>
      <c r="I3" s="61" t="s">
        <v>175</v>
      </c>
      <c r="J3" s="56" t="s">
        <v>6</v>
      </c>
      <c r="K3" s="59" t="s">
        <v>5</v>
      </c>
    </row>
    <row r="4" spans="1:11" s="1" customFormat="1" ht="23.25" customHeight="1" thickBot="1">
      <c r="A4" s="53"/>
      <c r="B4" s="55"/>
      <c r="C4" s="55"/>
      <c r="D4" s="55"/>
      <c r="E4" s="55"/>
      <c r="F4" s="58"/>
      <c r="G4" s="34" t="s">
        <v>1014</v>
      </c>
      <c r="H4" s="41" t="s">
        <v>1013</v>
      </c>
      <c r="I4" s="62"/>
      <c r="J4" s="55"/>
      <c r="K4" s="63"/>
    </row>
    <row r="5" spans="1:11" s="5" customFormat="1" ht="15">
      <c r="A5" s="64" t="s">
        <v>209</v>
      </c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1" s="5" customFormat="1">
      <c r="A6" s="17" t="s">
        <v>1098</v>
      </c>
      <c r="B6" s="15" t="s">
        <v>1097</v>
      </c>
      <c r="C6" s="15" t="s">
        <v>1096</v>
      </c>
      <c r="D6" s="15" t="str">
        <f>"1,1110"</f>
        <v>1,1110</v>
      </c>
      <c r="E6" s="17" t="s">
        <v>682</v>
      </c>
      <c r="F6" s="17" t="s">
        <v>64</v>
      </c>
      <c r="G6" s="15" t="s">
        <v>216</v>
      </c>
      <c r="H6" s="45" t="s">
        <v>1095</v>
      </c>
      <c r="I6" s="17" t="str">
        <f>"1260,0"</f>
        <v>1260,0</v>
      </c>
      <c r="J6" s="15" t="str">
        <f>"1514,6484"</f>
        <v>1514,6484</v>
      </c>
      <c r="K6" s="17"/>
    </row>
    <row r="7" spans="1:11" s="5" customFormat="1">
      <c r="A7" s="4"/>
      <c r="E7" s="4"/>
      <c r="F7" s="4"/>
      <c r="H7" s="39"/>
      <c r="I7" s="4"/>
      <c r="K7" s="4"/>
    </row>
    <row r="8" spans="1:11" ht="1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</row>
    <row r="9" spans="1:11">
      <c r="A9" s="9" t="s">
        <v>1094</v>
      </c>
      <c r="B9" s="10" t="s">
        <v>1093</v>
      </c>
      <c r="C9" s="10" t="s">
        <v>1052</v>
      </c>
      <c r="D9" s="10" t="str">
        <f>"0,6104"</f>
        <v>0,6104</v>
      </c>
      <c r="E9" s="9" t="s">
        <v>19</v>
      </c>
      <c r="F9" s="9" t="s">
        <v>260</v>
      </c>
      <c r="G9" s="10" t="s">
        <v>751</v>
      </c>
      <c r="H9" s="43" t="s">
        <v>1092</v>
      </c>
      <c r="I9" s="9" t="str">
        <f>"2960,0"</f>
        <v>2960,0</v>
      </c>
      <c r="J9" s="10" t="str">
        <f>"1806,7841"</f>
        <v>1806,7841</v>
      </c>
      <c r="K9" s="9"/>
    </row>
    <row r="10" spans="1:11">
      <c r="A10" s="12" t="s">
        <v>1091</v>
      </c>
      <c r="B10" s="13" t="s">
        <v>1090</v>
      </c>
      <c r="C10" s="13" t="s">
        <v>1089</v>
      </c>
      <c r="D10" s="13" t="str">
        <f>"0,6033"</f>
        <v>0,6033</v>
      </c>
      <c r="E10" s="12" t="s">
        <v>19</v>
      </c>
      <c r="F10" s="12" t="s">
        <v>1088</v>
      </c>
      <c r="G10" s="13" t="s">
        <v>1045</v>
      </c>
      <c r="H10" s="42" t="s">
        <v>422</v>
      </c>
      <c r="I10" s="12" t="str">
        <f>"3700,0"</f>
        <v>3700,0</v>
      </c>
      <c r="J10" s="13" t="str">
        <f>"2232,2099"</f>
        <v>2232,2099</v>
      </c>
      <c r="K10" s="12"/>
    </row>
    <row r="12" spans="1:11" ht="15">
      <c r="A12" s="60" t="s">
        <v>94</v>
      </c>
      <c r="B12" s="60"/>
      <c r="C12" s="60"/>
      <c r="D12" s="60"/>
      <c r="E12" s="60"/>
      <c r="F12" s="60"/>
      <c r="G12" s="60"/>
      <c r="H12" s="60"/>
      <c r="I12" s="60"/>
      <c r="J12" s="60"/>
    </row>
    <row r="13" spans="1:11">
      <c r="A13" s="17" t="s">
        <v>1087</v>
      </c>
      <c r="B13" s="15" t="s">
        <v>1086</v>
      </c>
      <c r="C13" s="15" t="s">
        <v>292</v>
      </c>
      <c r="D13" s="15" t="str">
        <f>"0,5658"</f>
        <v>0,5658</v>
      </c>
      <c r="E13" s="17" t="s">
        <v>19</v>
      </c>
      <c r="F13" s="17" t="s">
        <v>99</v>
      </c>
      <c r="G13" s="15" t="s">
        <v>1085</v>
      </c>
      <c r="H13" s="45" t="s">
        <v>1084</v>
      </c>
      <c r="I13" s="17" t="str">
        <f>"1320,0"</f>
        <v>1320,0</v>
      </c>
      <c r="J13" s="15" t="str">
        <f>"778,9708"</f>
        <v>778,9708</v>
      </c>
      <c r="K13" s="17"/>
    </row>
    <row r="15" spans="1:11" ht="15">
      <c r="A15" s="60" t="s">
        <v>308</v>
      </c>
      <c r="B15" s="60"/>
      <c r="C15" s="60"/>
      <c r="D15" s="60"/>
      <c r="E15" s="60"/>
      <c r="F15" s="60"/>
      <c r="G15" s="60"/>
      <c r="H15" s="60"/>
      <c r="I15" s="60"/>
      <c r="J15" s="60"/>
    </row>
    <row r="16" spans="1:11">
      <c r="A16" s="17" t="s">
        <v>1083</v>
      </c>
      <c r="B16" s="15" t="s">
        <v>311</v>
      </c>
      <c r="C16" s="15" t="s">
        <v>312</v>
      </c>
      <c r="D16" s="15" t="str">
        <f>"0,5409"</f>
        <v>0,5409</v>
      </c>
      <c r="E16" s="17" t="s">
        <v>19</v>
      </c>
      <c r="F16" s="17" t="s">
        <v>20</v>
      </c>
      <c r="G16" s="15" t="s">
        <v>1082</v>
      </c>
      <c r="H16" s="45" t="s">
        <v>1039</v>
      </c>
      <c r="I16" s="17" t="str">
        <f>"0.00"</f>
        <v>0.00</v>
      </c>
      <c r="J16" s="15" t="str">
        <f>"0,0000"</f>
        <v>0,0000</v>
      </c>
      <c r="K16" s="17"/>
    </row>
    <row r="18" spans="1:5" s="3" customFormat="1" ht="15">
      <c r="A18" s="4"/>
      <c r="B18" s="5"/>
      <c r="C18" s="5"/>
      <c r="D18" s="5"/>
      <c r="E18" s="21" t="s">
        <v>128</v>
      </c>
    </row>
    <row r="19" spans="1:5" s="3" customFormat="1" ht="15">
      <c r="A19" s="4"/>
      <c r="B19" s="5"/>
      <c r="C19" s="5"/>
      <c r="D19" s="5"/>
      <c r="E19" s="21" t="s">
        <v>129</v>
      </c>
    </row>
    <row r="20" spans="1:5" s="3" customFormat="1" ht="15">
      <c r="A20" s="4"/>
      <c r="B20" s="5"/>
      <c r="C20" s="5"/>
      <c r="D20" s="5"/>
      <c r="E20" s="21" t="s">
        <v>130</v>
      </c>
    </row>
    <row r="21" spans="1:5" s="3" customFormat="1">
      <c r="A21" s="4"/>
      <c r="B21" s="5"/>
      <c r="C21" s="5"/>
      <c r="D21" s="5"/>
      <c r="E21" s="4" t="s">
        <v>131</v>
      </c>
    </row>
    <row r="22" spans="1:5" s="3" customFormat="1">
      <c r="A22" s="4"/>
      <c r="B22" s="5"/>
      <c r="C22" s="5"/>
      <c r="D22" s="5"/>
      <c r="E22" s="4" t="s">
        <v>132</v>
      </c>
    </row>
    <row r="23" spans="1:5" s="3" customFormat="1">
      <c r="A23" s="4"/>
      <c r="B23" s="5"/>
      <c r="C23" s="5"/>
      <c r="D23" s="5"/>
      <c r="E23" s="4" t="s">
        <v>133</v>
      </c>
    </row>
    <row r="26" spans="1:5" s="3" customFormat="1" ht="18">
      <c r="A26" s="22" t="s">
        <v>134</v>
      </c>
      <c r="B26" s="23"/>
      <c r="C26" s="5"/>
      <c r="D26" s="5"/>
      <c r="E26" s="4"/>
    </row>
    <row r="27" spans="1:5" s="3" customFormat="1" ht="15">
      <c r="A27" s="24" t="s">
        <v>135</v>
      </c>
      <c r="B27" s="33"/>
      <c r="C27" s="5"/>
      <c r="D27" s="5"/>
      <c r="E27" s="4"/>
    </row>
    <row r="28" spans="1:5" s="3" customFormat="1" ht="14.25">
      <c r="A28" s="27"/>
      <c r="B28" s="28" t="s">
        <v>164</v>
      </c>
      <c r="C28" s="5"/>
      <c r="D28" s="5"/>
      <c r="E28" s="4"/>
    </row>
    <row r="29" spans="1:5" s="3" customFormat="1" ht="15">
      <c r="A29" s="29" t="s">
        <v>0</v>
      </c>
      <c r="B29" s="29" t="s">
        <v>137</v>
      </c>
      <c r="C29" s="29" t="s">
        <v>138</v>
      </c>
      <c r="D29" s="29" t="s">
        <v>139</v>
      </c>
      <c r="E29" s="29" t="s">
        <v>907</v>
      </c>
    </row>
    <row r="30" spans="1:5" s="3" customFormat="1">
      <c r="A30" s="26" t="s">
        <v>1081</v>
      </c>
      <c r="B30" s="5" t="s">
        <v>1019</v>
      </c>
      <c r="C30" s="5" t="s">
        <v>313</v>
      </c>
      <c r="D30" s="5" t="s">
        <v>1080</v>
      </c>
      <c r="E30" s="30" t="s">
        <v>1079</v>
      </c>
    </row>
    <row r="33" spans="1:5" s="3" customFormat="1" ht="15">
      <c r="A33" s="24" t="s">
        <v>145</v>
      </c>
      <c r="B33" s="33"/>
      <c r="C33" s="5"/>
      <c r="D33" s="5"/>
      <c r="E33" s="4"/>
    </row>
    <row r="34" spans="1:5" s="3" customFormat="1" ht="14.25">
      <c r="A34" s="27"/>
      <c r="B34" s="28" t="s">
        <v>143</v>
      </c>
      <c r="C34" s="5"/>
      <c r="D34" s="5"/>
      <c r="E34" s="4"/>
    </row>
    <row r="35" spans="1:5" s="3" customFormat="1" ht="15">
      <c r="A35" s="29" t="s">
        <v>0</v>
      </c>
      <c r="B35" s="29" t="s">
        <v>137</v>
      </c>
      <c r="C35" s="29" t="s">
        <v>138</v>
      </c>
      <c r="D35" s="29" t="s">
        <v>139</v>
      </c>
      <c r="E35" s="29" t="s">
        <v>907</v>
      </c>
    </row>
    <row r="36" spans="1:5" s="3" customFormat="1">
      <c r="A36" s="26" t="s">
        <v>1078</v>
      </c>
      <c r="B36" s="5" t="s">
        <v>143</v>
      </c>
      <c r="C36" s="5" t="s">
        <v>161</v>
      </c>
      <c r="D36" s="5" t="s">
        <v>1077</v>
      </c>
      <c r="E36" s="30" t="s">
        <v>1076</v>
      </c>
    </row>
    <row r="38" spans="1:5" s="3" customFormat="1" ht="14.25">
      <c r="A38" s="27"/>
      <c r="B38" s="28" t="s">
        <v>164</v>
      </c>
      <c r="C38" s="5"/>
      <c r="D38" s="5"/>
      <c r="E38" s="4"/>
    </row>
    <row r="39" spans="1:5" s="3" customFormat="1" ht="15">
      <c r="A39" s="29" t="s">
        <v>0</v>
      </c>
      <c r="B39" s="29" t="s">
        <v>137</v>
      </c>
      <c r="C39" s="29" t="s">
        <v>138</v>
      </c>
      <c r="D39" s="29" t="s">
        <v>139</v>
      </c>
      <c r="E39" s="29" t="s">
        <v>907</v>
      </c>
    </row>
    <row r="40" spans="1:5" s="3" customFormat="1">
      <c r="A40" s="26" t="s">
        <v>1075</v>
      </c>
      <c r="B40" s="5" t="s">
        <v>1019</v>
      </c>
      <c r="C40" s="5" t="s">
        <v>161</v>
      </c>
      <c r="D40" s="5" t="s">
        <v>1074</v>
      </c>
      <c r="E40" s="30" t="s">
        <v>1073</v>
      </c>
    </row>
    <row r="41" spans="1:5" s="3" customFormat="1">
      <c r="A41" s="26" t="s">
        <v>289</v>
      </c>
      <c r="B41" s="5" t="s">
        <v>1019</v>
      </c>
      <c r="C41" s="5" t="s">
        <v>155</v>
      </c>
      <c r="D41" s="5" t="s">
        <v>1072</v>
      </c>
      <c r="E41" s="30" t="s">
        <v>1071</v>
      </c>
    </row>
  </sheetData>
  <mergeCells count="15">
    <mergeCell ref="A15:J15"/>
    <mergeCell ref="I3:I4"/>
    <mergeCell ref="J3:J4"/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  <mergeCell ref="F3:F4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19.14062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7" width="5.85546875" style="5" bestFit="1" customWidth="1"/>
    <col min="8" max="8" width="4.5703125" style="39" bestFit="1" customWidth="1"/>
    <col min="9" max="9" width="6.5703125" style="4" bestFit="1" customWidth="1"/>
    <col min="10" max="10" width="8.5703125" style="5" bestFit="1" customWidth="1"/>
    <col min="11" max="11" width="7.42578125" style="4" bestFit="1" customWidth="1"/>
    <col min="12" max="16384" width="9.140625" style="3"/>
  </cols>
  <sheetData>
    <row r="1" spans="1:11" s="2" customFormat="1" ht="29.1" customHeight="1">
      <c r="A1" s="46" t="s">
        <v>1016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1"/>
    </row>
    <row r="3" spans="1:11" s="1" customFormat="1" ht="12.75" customHeight="1">
      <c r="A3" s="52" t="s">
        <v>0</v>
      </c>
      <c r="B3" s="54" t="s">
        <v>10</v>
      </c>
      <c r="C3" s="54" t="s">
        <v>8</v>
      </c>
      <c r="D3" s="56" t="s">
        <v>907</v>
      </c>
      <c r="E3" s="56" t="s">
        <v>1</v>
      </c>
      <c r="F3" s="57" t="s">
        <v>13</v>
      </c>
      <c r="G3" s="52" t="s">
        <v>1015</v>
      </c>
      <c r="H3" s="56"/>
      <c r="I3" s="61" t="s">
        <v>175</v>
      </c>
      <c r="J3" s="56" t="s">
        <v>6</v>
      </c>
      <c r="K3" s="59" t="s">
        <v>5</v>
      </c>
    </row>
    <row r="4" spans="1:11" s="1" customFormat="1" ht="23.25" customHeight="1" thickBot="1">
      <c r="A4" s="53"/>
      <c r="B4" s="55"/>
      <c r="C4" s="55"/>
      <c r="D4" s="55"/>
      <c r="E4" s="55"/>
      <c r="F4" s="58"/>
      <c r="G4" s="34" t="s">
        <v>1014</v>
      </c>
      <c r="H4" s="41" t="s">
        <v>1013</v>
      </c>
      <c r="I4" s="62"/>
      <c r="J4" s="55"/>
      <c r="K4" s="63"/>
    </row>
    <row r="5" spans="1:11" s="5" customFormat="1" ht="15">
      <c r="A5" s="64" t="s">
        <v>30</v>
      </c>
      <c r="B5" s="65"/>
      <c r="C5" s="65"/>
      <c r="D5" s="65"/>
      <c r="E5" s="65"/>
      <c r="F5" s="65"/>
      <c r="G5" s="65"/>
      <c r="H5" s="65"/>
      <c r="I5" s="65"/>
      <c r="J5" s="65"/>
      <c r="K5" s="4"/>
    </row>
    <row r="6" spans="1:11" s="5" customFormat="1">
      <c r="A6" s="17" t="s">
        <v>777</v>
      </c>
      <c r="B6" s="15" t="s">
        <v>778</v>
      </c>
      <c r="C6" s="15" t="s">
        <v>779</v>
      </c>
      <c r="D6" s="15" t="str">
        <f>"0,9266"</f>
        <v>0,9266</v>
      </c>
      <c r="E6" s="17" t="s">
        <v>19</v>
      </c>
      <c r="F6" s="17" t="s">
        <v>260</v>
      </c>
      <c r="G6" s="15" t="s">
        <v>1012</v>
      </c>
      <c r="H6" s="40" t="s">
        <v>1011</v>
      </c>
      <c r="I6" s="17" t="str">
        <f>"1007,5"</f>
        <v>1007,5</v>
      </c>
      <c r="J6" s="15" t="str">
        <f>"933,5999"</f>
        <v>933,5999</v>
      </c>
      <c r="K6" s="17"/>
    </row>
    <row r="7" spans="1:11" s="5" customFormat="1">
      <c r="A7" s="4"/>
      <c r="E7" s="4"/>
      <c r="F7" s="4"/>
      <c r="H7" s="39"/>
      <c r="I7" s="4"/>
      <c r="K7" s="4"/>
    </row>
    <row r="8" spans="1:11" ht="15">
      <c r="E8" s="21" t="s">
        <v>128</v>
      </c>
    </row>
    <row r="9" spans="1:11" ht="15">
      <c r="E9" s="21" t="s">
        <v>129</v>
      </c>
    </row>
    <row r="10" spans="1:11" ht="15">
      <c r="E10" s="21" t="s">
        <v>130</v>
      </c>
    </row>
    <row r="11" spans="1:11">
      <c r="E11" s="4" t="s">
        <v>131</v>
      </c>
    </row>
    <row r="12" spans="1:11">
      <c r="E12" s="4" t="s">
        <v>132</v>
      </c>
    </row>
    <row r="13" spans="1:11">
      <c r="E13" s="4" t="s">
        <v>133</v>
      </c>
    </row>
    <row r="16" spans="1:11" ht="18">
      <c r="A16" s="22" t="s">
        <v>134</v>
      </c>
      <c r="B16" s="23"/>
    </row>
    <row r="17" spans="1:5" s="3" customFormat="1" ht="15">
      <c r="A17" s="24" t="s">
        <v>135</v>
      </c>
      <c r="B17" s="33"/>
      <c r="C17" s="5"/>
      <c r="D17" s="5"/>
      <c r="E17" s="4"/>
    </row>
    <row r="18" spans="1:5" s="3" customFormat="1" ht="14.25">
      <c r="A18" s="27"/>
      <c r="B18" s="28" t="s">
        <v>143</v>
      </c>
      <c r="C18" s="5"/>
      <c r="D18" s="5"/>
      <c r="E18" s="4"/>
    </row>
    <row r="19" spans="1:5" s="3" customFormat="1" ht="15">
      <c r="A19" s="29" t="s">
        <v>0</v>
      </c>
      <c r="B19" s="29" t="s">
        <v>137</v>
      </c>
      <c r="C19" s="29" t="s">
        <v>138</v>
      </c>
      <c r="D19" s="29" t="s">
        <v>139</v>
      </c>
      <c r="E19" s="29" t="s">
        <v>907</v>
      </c>
    </row>
    <row r="20" spans="1:5" s="3" customFormat="1">
      <c r="A20" s="26" t="s">
        <v>776</v>
      </c>
      <c r="B20" s="5" t="s">
        <v>143</v>
      </c>
      <c r="C20" s="5" t="s">
        <v>151</v>
      </c>
      <c r="D20" s="5" t="s">
        <v>1010</v>
      </c>
      <c r="E20" s="30" t="s">
        <v>1009</v>
      </c>
    </row>
  </sheetData>
  <mergeCells count="12"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opLeftCell="A3" workbookViewId="0">
      <selection activeCell="F22" sqref="F22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6.85546875" style="5" bestFit="1" customWidth="1"/>
    <col min="5" max="5" width="17.28515625" style="4" bestFit="1" customWidth="1"/>
    <col min="6" max="6" width="15.28515625" style="4" bestFit="1" customWidth="1"/>
    <col min="7" max="8" width="6.85546875" style="5" bestFit="1" customWidth="1"/>
    <col min="9" max="9" width="5.5703125" style="5" bestFit="1" customWidth="1"/>
    <col min="10" max="10" width="5" style="5" bestFit="1" customWidth="1"/>
    <col min="11" max="11" width="6.140625" style="4" bestFit="1" customWidth="1"/>
    <col min="12" max="12" width="8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914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907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742</v>
      </c>
      <c r="B6" s="15" t="s">
        <v>743</v>
      </c>
      <c r="C6" s="15" t="s">
        <v>585</v>
      </c>
      <c r="D6" s="15" t="str">
        <f>"0,6467"</f>
        <v>0,6467</v>
      </c>
      <c r="E6" s="17" t="s">
        <v>19</v>
      </c>
      <c r="F6" s="17" t="s">
        <v>64</v>
      </c>
      <c r="G6" s="15" t="s">
        <v>908</v>
      </c>
      <c r="H6" s="15" t="s">
        <v>909</v>
      </c>
      <c r="I6" s="18" t="s">
        <v>67</v>
      </c>
      <c r="J6" s="18"/>
      <c r="K6" s="17" t="str">
        <f>"240,0"</f>
        <v>240,0</v>
      </c>
      <c r="L6" s="15" t="str">
        <f>"155,1960"</f>
        <v>155,1960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735</v>
      </c>
      <c r="B9" s="15" t="s">
        <v>736</v>
      </c>
      <c r="C9" s="15" t="s">
        <v>609</v>
      </c>
      <c r="D9" s="15" t="str">
        <f>"0,5859"</f>
        <v>0,5859</v>
      </c>
      <c r="E9" s="17" t="s">
        <v>19</v>
      </c>
      <c r="F9" s="17" t="s">
        <v>737</v>
      </c>
      <c r="G9" s="15" t="s">
        <v>909</v>
      </c>
      <c r="H9" s="15" t="s">
        <v>910</v>
      </c>
      <c r="I9" s="18" t="s">
        <v>118</v>
      </c>
      <c r="J9" s="18"/>
      <c r="K9" s="17" t="str">
        <f>"260,0"</f>
        <v>260,0</v>
      </c>
      <c r="L9" s="15" t="str">
        <f>"152,3210"</f>
        <v>152,3210</v>
      </c>
      <c r="M9" s="17"/>
    </row>
    <row r="11" spans="1:13" ht="15">
      <c r="E11" s="21" t="s">
        <v>128</v>
      </c>
    </row>
    <row r="12" spans="1:13" ht="15">
      <c r="E12" s="21" t="s">
        <v>129</v>
      </c>
    </row>
    <row r="13" spans="1:13" ht="15">
      <c r="E13" s="21" t="s">
        <v>130</v>
      </c>
    </row>
    <row r="14" spans="1:13">
      <c r="E14" s="4" t="s">
        <v>131</v>
      </c>
    </row>
    <row r="15" spans="1:13">
      <c r="E15" s="4" t="s">
        <v>132</v>
      </c>
    </row>
    <row r="16" spans="1:13">
      <c r="E16" s="4" t="s">
        <v>133</v>
      </c>
    </row>
    <row r="19" spans="1:5" ht="18">
      <c r="A19" s="22" t="s">
        <v>134</v>
      </c>
      <c r="B19" s="23"/>
    </row>
    <row r="20" spans="1:5" ht="15">
      <c r="A20" s="24" t="s">
        <v>145</v>
      </c>
      <c r="B20" s="25"/>
    </row>
    <row r="21" spans="1:5" ht="14.25">
      <c r="A21" s="27"/>
      <c r="B21" s="28" t="s">
        <v>143</v>
      </c>
    </row>
    <row r="22" spans="1:5" ht="15">
      <c r="A22" s="29" t="s">
        <v>0</v>
      </c>
      <c r="B22" s="29" t="s">
        <v>137</v>
      </c>
      <c r="C22" s="29" t="s">
        <v>138</v>
      </c>
      <c r="D22" s="29" t="s">
        <v>139</v>
      </c>
      <c r="E22" s="29" t="s">
        <v>907</v>
      </c>
    </row>
    <row r="23" spans="1:5">
      <c r="A23" s="26" t="s">
        <v>741</v>
      </c>
      <c r="B23" s="5" t="s">
        <v>143</v>
      </c>
      <c r="C23" s="5" t="s">
        <v>147</v>
      </c>
      <c r="D23" s="5" t="s">
        <v>37</v>
      </c>
      <c r="E23" s="30" t="s">
        <v>911</v>
      </c>
    </row>
    <row r="25" spans="1:5" ht="14.25">
      <c r="A25" s="27"/>
      <c r="B25" s="28" t="s">
        <v>164</v>
      </c>
    </row>
    <row r="26" spans="1:5" ht="15">
      <c r="A26" s="29" t="s">
        <v>0</v>
      </c>
      <c r="B26" s="29" t="s">
        <v>137</v>
      </c>
      <c r="C26" s="29" t="s">
        <v>138</v>
      </c>
      <c r="D26" s="29" t="s">
        <v>139</v>
      </c>
      <c r="E26" s="29" t="s">
        <v>907</v>
      </c>
    </row>
    <row r="27" spans="1:5">
      <c r="A27" s="26" t="s">
        <v>734</v>
      </c>
      <c r="B27" s="5" t="s">
        <v>172</v>
      </c>
      <c r="C27" s="5" t="s">
        <v>161</v>
      </c>
      <c r="D27" s="5" t="s">
        <v>104</v>
      </c>
      <c r="E27" s="30" t="s">
        <v>912</v>
      </c>
    </row>
  </sheetData>
  <mergeCells count="13">
    <mergeCell ref="A5:L5"/>
    <mergeCell ref="A8:L8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A8" sqref="A8:P8"/>
    </sheetView>
  </sheetViews>
  <sheetFormatPr defaultRowHeight="12.75"/>
  <cols>
    <col min="1" max="1" width="27" style="4" bestFit="1" customWidth="1"/>
    <col min="2" max="2" width="26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5" width="6.140625" style="4" bestFit="1" customWidth="1"/>
    <col min="16" max="16" width="8.5703125" style="5" bestFit="1" customWidth="1"/>
    <col min="17" max="17" width="7.42578125" style="4" bestFit="1" customWidth="1"/>
    <col min="18" max="16384" width="9.140625" style="3"/>
  </cols>
  <sheetData>
    <row r="1" spans="1:17" s="2" customFormat="1" ht="29.1" customHeight="1">
      <c r="A1" s="46" t="s">
        <v>899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52" t="s">
        <v>4</v>
      </c>
      <c r="L3" s="56"/>
      <c r="M3" s="56"/>
      <c r="N3" s="59"/>
      <c r="O3" s="61" t="s">
        <v>9</v>
      </c>
      <c r="P3" s="56" t="s">
        <v>6</v>
      </c>
      <c r="Q3" s="59" t="s">
        <v>5</v>
      </c>
    </row>
    <row r="4" spans="1:17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2"/>
      <c r="P4" s="55"/>
      <c r="Q4" s="63"/>
    </row>
    <row r="5" spans="1:17" s="5" customFormat="1" ht="15">
      <c r="A5" s="64" t="s">
        <v>54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"/>
    </row>
    <row r="6" spans="1:17" s="5" customFormat="1">
      <c r="A6" s="17" t="s">
        <v>244</v>
      </c>
      <c r="B6" s="15" t="s">
        <v>245</v>
      </c>
      <c r="C6" s="15" t="s">
        <v>246</v>
      </c>
      <c r="D6" s="15" t="str">
        <f>"0,6241"</f>
        <v>0,6241</v>
      </c>
      <c r="E6" s="17" t="s">
        <v>19</v>
      </c>
      <c r="F6" s="17" t="s">
        <v>247</v>
      </c>
      <c r="G6" s="15" t="s">
        <v>248</v>
      </c>
      <c r="H6" s="15" t="s">
        <v>249</v>
      </c>
      <c r="I6" s="15" t="s">
        <v>250</v>
      </c>
      <c r="J6" s="18"/>
      <c r="K6" s="18" t="s">
        <v>111</v>
      </c>
      <c r="L6" s="15" t="s">
        <v>111</v>
      </c>
      <c r="M6" s="15" t="s">
        <v>35</v>
      </c>
      <c r="N6" s="18"/>
      <c r="O6" s="17" t="str">
        <f>"357,5"</f>
        <v>357,5</v>
      </c>
      <c r="P6" s="15" t="str">
        <f>"230,0323"</f>
        <v>230,0323</v>
      </c>
      <c r="Q6" s="17"/>
    </row>
    <row r="7" spans="1:17" s="5" customFormat="1">
      <c r="A7" s="4"/>
      <c r="E7" s="4"/>
      <c r="F7" s="4"/>
      <c r="O7" s="4"/>
      <c r="Q7" s="4"/>
    </row>
    <row r="8" spans="1:17" ht="15">
      <c r="A8" s="60" t="s">
        <v>112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7">
      <c r="A9" s="17" t="s">
        <v>901</v>
      </c>
      <c r="B9" s="15" t="s">
        <v>495</v>
      </c>
      <c r="C9" s="15" t="s">
        <v>902</v>
      </c>
      <c r="D9" s="15" t="str">
        <f>"0,5232"</f>
        <v>0,5232</v>
      </c>
      <c r="E9" s="17" t="s">
        <v>19</v>
      </c>
      <c r="F9" s="17" t="s">
        <v>903</v>
      </c>
      <c r="G9" s="15" t="s">
        <v>35</v>
      </c>
      <c r="H9" s="15" t="s">
        <v>126</v>
      </c>
      <c r="I9" s="18" t="s">
        <v>43</v>
      </c>
      <c r="J9" s="18"/>
      <c r="K9" s="15" t="s">
        <v>118</v>
      </c>
      <c r="L9" s="18"/>
      <c r="M9" s="18"/>
      <c r="N9" s="18"/>
      <c r="O9" s="17" t="str">
        <f>"475,0"</f>
        <v>475,0</v>
      </c>
      <c r="P9" s="15" t="str">
        <f>"248,5200"</f>
        <v>248,5200</v>
      </c>
      <c r="Q9" s="17"/>
    </row>
    <row r="11" spans="1:17" ht="15">
      <c r="E11" s="21" t="s">
        <v>128</v>
      </c>
    </row>
    <row r="12" spans="1:17" ht="15">
      <c r="E12" s="21" t="s">
        <v>129</v>
      </c>
    </row>
    <row r="13" spans="1:17" ht="15">
      <c r="E13" s="21" t="s">
        <v>130</v>
      </c>
    </row>
    <row r="14" spans="1:17">
      <c r="E14" s="4" t="s">
        <v>131</v>
      </c>
    </row>
    <row r="15" spans="1:17">
      <c r="E15" s="4" t="s">
        <v>132</v>
      </c>
    </row>
    <row r="16" spans="1:17">
      <c r="E16" s="4" t="s">
        <v>133</v>
      </c>
    </row>
    <row r="19" spans="1:5" ht="18">
      <c r="A19" s="22" t="s">
        <v>134</v>
      </c>
      <c r="B19" s="23"/>
    </row>
    <row r="20" spans="1:5" ht="15">
      <c r="A20" s="24" t="s">
        <v>145</v>
      </c>
      <c r="B20" s="25"/>
    </row>
    <row r="21" spans="1:5" ht="14.25">
      <c r="A21" s="27"/>
      <c r="B21" s="28" t="s">
        <v>143</v>
      </c>
    </row>
    <row r="22" spans="1:5" ht="15">
      <c r="A22" s="29" t="s">
        <v>0</v>
      </c>
      <c r="B22" s="29" t="s">
        <v>137</v>
      </c>
      <c r="C22" s="29" t="s">
        <v>138</v>
      </c>
      <c r="D22" s="29" t="s">
        <v>139</v>
      </c>
      <c r="E22" s="29" t="s">
        <v>12</v>
      </c>
    </row>
    <row r="23" spans="1:5">
      <c r="A23" s="26" t="s">
        <v>900</v>
      </c>
      <c r="B23" s="5" t="s">
        <v>143</v>
      </c>
      <c r="C23" s="5" t="s">
        <v>153</v>
      </c>
      <c r="D23" s="5" t="s">
        <v>904</v>
      </c>
      <c r="E23" s="30" t="s">
        <v>905</v>
      </c>
    </row>
    <row r="25" spans="1:5" ht="14.25">
      <c r="A25" s="27"/>
      <c r="B25" s="28" t="s">
        <v>164</v>
      </c>
    </row>
    <row r="26" spans="1:5" ht="15">
      <c r="A26" s="29" t="s">
        <v>0</v>
      </c>
      <c r="B26" s="29" t="s">
        <v>137</v>
      </c>
      <c r="C26" s="29" t="s">
        <v>138</v>
      </c>
      <c r="D26" s="29" t="s">
        <v>139</v>
      </c>
      <c r="E26" s="29" t="s">
        <v>12</v>
      </c>
    </row>
    <row r="27" spans="1:5">
      <c r="A27" s="26" t="s">
        <v>243</v>
      </c>
      <c r="B27" s="5" t="s">
        <v>172</v>
      </c>
      <c r="C27" s="5" t="s">
        <v>147</v>
      </c>
      <c r="D27" s="5" t="s">
        <v>897</v>
      </c>
      <c r="E27" s="30" t="s">
        <v>906</v>
      </c>
    </row>
  </sheetData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0"/>
  <sheetViews>
    <sheetView topLeftCell="A3" workbookViewId="0">
      <selection activeCell="B16" sqref="B16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28515625" style="4" bestFit="1" customWidth="1"/>
    <col min="7" max="9" width="5.5703125" style="5" bestFit="1" customWidth="1"/>
    <col min="10" max="10" width="5" style="5" bestFit="1" customWidth="1"/>
    <col min="11" max="13" width="5.5703125" style="5" bestFit="1" customWidth="1"/>
    <col min="14" max="14" width="5" style="5" bestFit="1" customWidth="1"/>
    <col min="15" max="15" width="6.140625" style="4" bestFit="1" customWidth="1"/>
    <col min="16" max="16" width="8.5703125" style="5" bestFit="1" customWidth="1"/>
    <col min="17" max="17" width="7.42578125" style="4" bestFit="1" customWidth="1"/>
    <col min="18" max="16384" width="9.140625" style="3"/>
  </cols>
  <sheetData>
    <row r="1" spans="1:17" s="2" customFormat="1" ht="29.1" customHeight="1">
      <c r="A1" s="46" t="s">
        <v>913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8"/>
    </row>
    <row r="2" spans="1:17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1"/>
    </row>
    <row r="3" spans="1:17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3</v>
      </c>
      <c r="H3" s="56"/>
      <c r="I3" s="56"/>
      <c r="J3" s="59"/>
      <c r="K3" s="52" t="s">
        <v>4</v>
      </c>
      <c r="L3" s="56"/>
      <c r="M3" s="56"/>
      <c r="N3" s="59"/>
      <c r="O3" s="61" t="s">
        <v>9</v>
      </c>
      <c r="P3" s="56" t="s">
        <v>6</v>
      </c>
      <c r="Q3" s="59" t="s">
        <v>5</v>
      </c>
    </row>
    <row r="4" spans="1:17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">
        <v>1</v>
      </c>
      <c r="L4" s="7">
        <v>2</v>
      </c>
      <c r="M4" s="7">
        <v>3</v>
      </c>
      <c r="N4" s="8" t="s">
        <v>7</v>
      </c>
      <c r="O4" s="62"/>
      <c r="P4" s="55"/>
      <c r="Q4" s="63"/>
    </row>
    <row r="5" spans="1:17" s="5" customFormat="1" ht="15">
      <c r="A5" s="64" t="s">
        <v>14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4"/>
    </row>
    <row r="6" spans="1:17" s="5" customFormat="1">
      <c r="A6" s="17" t="s">
        <v>774</v>
      </c>
      <c r="B6" s="15" t="s">
        <v>775</v>
      </c>
      <c r="C6" s="15" t="s">
        <v>770</v>
      </c>
      <c r="D6" s="15" t="str">
        <f>"0,8725"</f>
        <v>0,8725</v>
      </c>
      <c r="E6" s="17" t="s">
        <v>19</v>
      </c>
      <c r="F6" s="17" t="s">
        <v>64</v>
      </c>
      <c r="G6" s="15" t="s">
        <v>544</v>
      </c>
      <c r="H6" s="18" t="s">
        <v>549</v>
      </c>
      <c r="I6" s="15" t="s">
        <v>549</v>
      </c>
      <c r="J6" s="18"/>
      <c r="K6" s="15" t="s">
        <v>233</v>
      </c>
      <c r="L6" s="15" t="s">
        <v>372</v>
      </c>
      <c r="M6" s="15" t="s">
        <v>177</v>
      </c>
      <c r="N6" s="18"/>
      <c r="O6" s="17" t="str">
        <f>"177,5"</f>
        <v>177,5</v>
      </c>
      <c r="P6" s="15" t="str">
        <f>"198,3869"</f>
        <v>198,3869</v>
      </c>
      <c r="Q6" s="17"/>
    </row>
    <row r="7" spans="1:17" s="5" customFormat="1">
      <c r="A7" s="4"/>
      <c r="E7" s="4"/>
      <c r="F7" s="4"/>
      <c r="O7" s="4"/>
      <c r="Q7" s="4"/>
    </row>
    <row r="8" spans="1:17" ht="1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</row>
    <row r="9" spans="1:17">
      <c r="A9" s="17" t="s">
        <v>893</v>
      </c>
      <c r="B9" s="15" t="s">
        <v>487</v>
      </c>
      <c r="C9" s="15" t="s">
        <v>488</v>
      </c>
      <c r="D9" s="15" t="str">
        <f>"0,5581"</f>
        <v>0,5581</v>
      </c>
      <c r="E9" s="17" t="s">
        <v>19</v>
      </c>
      <c r="F9" s="17" t="s">
        <v>64</v>
      </c>
      <c r="G9" s="18" t="s">
        <v>293</v>
      </c>
      <c r="H9" s="15" t="s">
        <v>293</v>
      </c>
      <c r="I9" s="15" t="s">
        <v>51</v>
      </c>
      <c r="J9" s="18"/>
      <c r="K9" s="15" t="s">
        <v>467</v>
      </c>
      <c r="L9" s="15" t="s">
        <v>479</v>
      </c>
      <c r="M9" s="15" t="s">
        <v>489</v>
      </c>
      <c r="N9" s="18"/>
      <c r="O9" s="17" t="str">
        <f>"357,5"</f>
        <v>357,5</v>
      </c>
      <c r="P9" s="15" t="str">
        <f>"199,5207"</f>
        <v>199,5207</v>
      </c>
      <c r="Q9" s="17"/>
    </row>
    <row r="11" spans="1:17" ht="15">
      <c r="A11" s="60" t="s">
        <v>94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</row>
    <row r="12" spans="1:17">
      <c r="A12" s="37" t="s">
        <v>494</v>
      </c>
      <c r="B12" s="10" t="s">
        <v>495</v>
      </c>
      <c r="C12" s="10" t="s">
        <v>496</v>
      </c>
      <c r="D12" s="10" t="str">
        <f>"0,5372"</f>
        <v>0,5372</v>
      </c>
      <c r="E12" s="9" t="s">
        <v>19</v>
      </c>
      <c r="F12" s="9" t="s">
        <v>497</v>
      </c>
      <c r="G12" s="10" t="s">
        <v>250</v>
      </c>
      <c r="H12" s="11" t="s">
        <v>623</v>
      </c>
      <c r="I12" s="10" t="s">
        <v>623</v>
      </c>
      <c r="J12" s="11"/>
      <c r="K12" s="10" t="s">
        <v>104</v>
      </c>
      <c r="L12" s="10" t="s">
        <v>357</v>
      </c>
      <c r="M12" s="11"/>
      <c r="N12" s="11"/>
      <c r="O12" s="9" t="str">
        <f>"0.00"</f>
        <v>0.00</v>
      </c>
      <c r="P12" s="10" t="str">
        <f>"0,0000"</f>
        <v>0,0000</v>
      </c>
      <c r="Q12" s="9"/>
    </row>
    <row r="13" spans="1:17">
      <c r="A13" s="38" t="s">
        <v>494</v>
      </c>
      <c r="B13" s="13" t="s">
        <v>502</v>
      </c>
      <c r="C13" s="13" t="s">
        <v>496</v>
      </c>
      <c r="D13" s="13" t="str">
        <f>"0,5372"</f>
        <v>0,5372</v>
      </c>
      <c r="E13" s="12" t="s">
        <v>19</v>
      </c>
      <c r="F13" s="12" t="s">
        <v>497</v>
      </c>
      <c r="G13" s="10" t="s">
        <v>250</v>
      </c>
      <c r="H13" s="11" t="s">
        <v>623</v>
      </c>
      <c r="I13" s="10" t="s">
        <v>623</v>
      </c>
      <c r="J13" s="14"/>
      <c r="K13" s="13" t="s">
        <v>104</v>
      </c>
      <c r="L13" s="13" t="s">
        <v>357</v>
      </c>
      <c r="M13" s="14"/>
      <c r="N13" s="14"/>
      <c r="O13" s="12" t="str">
        <f>"0.00"</f>
        <v>0.00</v>
      </c>
      <c r="P13" s="13" t="str">
        <f>"0,0000"</f>
        <v>0,0000</v>
      </c>
      <c r="Q13" s="12"/>
    </row>
    <row r="15" spans="1:17" ht="15">
      <c r="A15" s="60" t="s">
        <v>112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</row>
    <row r="16" spans="1:17">
      <c r="A16" s="17" t="s">
        <v>504</v>
      </c>
      <c r="B16" s="36" t="s">
        <v>1100</v>
      </c>
      <c r="C16" s="15" t="s">
        <v>505</v>
      </c>
      <c r="D16" s="15" t="str">
        <f>"0,5235"</f>
        <v>0,5235</v>
      </c>
      <c r="E16" s="17" t="s">
        <v>456</v>
      </c>
      <c r="F16" s="17" t="s">
        <v>64</v>
      </c>
      <c r="G16" s="15" t="s">
        <v>232</v>
      </c>
      <c r="H16" s="15" t="s">
        <v>446</v>
      </c>
      <c r="I16" s="15" t="s">
        <v>235</v>
      </c>
      <c r="J16" s="18"/>
      <c r="K16" s="18" t="s">
        <v>111</v>
      </c>
      <c r="L16" s="15" t="s">
        <v>111</v>
      </c>
      <c r="M16" s="18" t="s">
        <v>73</v>
      </c>
      <c r="N16" s="18"/>
      <c r="O16" s="17" t="str">
        <f>"295,0"</f>
        <v>295,0</v>
      </c>
      <c r="P16" s="15" t="str">
        <f>"154,4325"</f>
        <v>154,4325</v>
      </c>
      <c r="Q16" s="17"/>
    </row>
    <row r="18" spans="1:5" ht="15">
      <c r="E18" s="21" t="s">
        <v>128</v>
      </c>
    </row>
    <row r="19" spans="1:5" ht="15">
      <c r="E19" s="21" t="s">
        <v>129</v>
      </c>
    </row>
    <row r="20" spans="1:5" ht="15">
      <c r="E20" s="21" t="s">
        <v>130</v>
      </c>
    </row>
    <row r="21" spans="1:5">
      <c r="E21" s="4" t="s">
        <v>131</v>
      </c>
    </row>
    <row r="22" spans="1:5">
      <c r="E22" s="4" t="s">
        <v>132</v>
      </c>
    </row>
    <row r="23" spans="1:5">
      <c r="E23" s="4" t="s">
        <v>133</v>
      </c>
    </row>
    <row r="26" spans="1:5" ht="18">
      <c r="A26" s="22" t="s">
        <v>134</v>
      </c>
      <c r="B26" s="23"/>
    </row>
    <row r="27" spans="1:5" ht="15">
      <c r="A27" s="24" t="s">
        <v>135</v>
      </c>
      <c r="B27" s="25"/>
    </row>
    <row r="28" spans="1:5" ht="14.25">
      <c r="A28" s="27"/>
      <c r="B28" s="28" t="s">
        <v>164</v>
      </c>
    </row>
    <row r="29" spans="1:5" ht="15">
      <c r="A29" s="29" t="s">
        <v>0</v>
      </c>
      <c r="B29" s="29" t="s">
        <v>137</v>
      </c>
      <c r="C29" s="29" t="s">
        <v>138</v>
      </c>
      <c r="D29" s="29" t="s">
        <v>139</v>
      </c>
      <c r="E29" s="29" t="s">
        <v>12</v>
      </c>
    </row>
    <row r="30" spans="1:5">
      <c r="A30" s="26" t="s">
        <v>773</v>
      </c>
      <c r="B30" s="5" t="s">
        <v>336</v>
      </c>
      <c r="C30" s="5" t="s">
        <v>141</v>
      </c>
      <c r="D30" s="5" t="s">
        <v>618</v>
      </c>
      <c r="E30" s="30" t="s">
        <v>894</v>
      </c>
    </row>
    <row r="33" spans="1:5" ht="15">
      <c r="A33" s="24" t="s">
        <v>145</v>
      </c>
      <c r="B33" s="25"/>
    </row>
    <row r="34" spans="1:5" ht="14.25">
      <c r="A34" s="27"/>
      <c r="B34" s="28" t="s">
        <v>136</v>
      </c>
    </row>
    <row r="35" spans="1:5" ht="15">
      <c r="A35" s="29" t="s">
        <v>0</v>
      </c>
      <c r="B35" s="29" t="s">
        <v>137</v>
      </c>
      <c r="C35" s="29" t="s">
        <v>138</v>
      </c>
      <c r="D35" s="29" t="s">
        <v>139</v>
      </c>
      <c r="E35" s="29" t="s">
        <v>12</v>
      </c>
    </row>
    <row r="36" spans="1:5">
      <c r="A36" s="26" t="s">
        <v>503</v>
      </c>
      <c r="B36" s="5" t="s">
        <v>140</v>
      </c>
      <c r="C36" s="5" t="s">
        <v>153</v>
      </c>
      <c r="D36" s="5" t="s">
        <v>895</v>
      </c>
      <c r="E36" s="30" t="s">
        <v>896</v>
      </c>
    </row>
    <row r="38" spans="1:5" ht="14.25">
      <c r="A38" s="27"/>
      <c r="B38" s="28" t="s">
        <v>143</v>
      </c>
    </row>
    <row r="39" spans="1:5" ht="15">
      <c r="A39" s="29" t="s">
        <v>0</v>
      </c>
      <c r="B39" s="29" t="s">
        <v>137</v>
      </c>
      <c r="C39" s="29" t="s">
        <v>138</v>
      </c>
      <c r="D39" s="29" t="s">
        <v>139</v>
      </c>
      <c r="E39" s="29" t="s">
        <v>12</v>
      </c>
    </row>
    <row r="40" spans="1:5">
      <c r="A40" s="26" t="s">
        <v>485</v>
      </c>
      <c r="B40" s="5" t="s">
        <v>143</v>
      </c>
      <c r="C40" s="5" t="s">
        <v>161</v>
      </c>
      <c r="D40" s="5" t="s">
        <v>897</v>
      </c>
      <c r="E40" s="30" t="s">
        <v>898</v>
      </c>
    </row>
  </sheetData>
  <mergeCells count="16"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A15:P15"/>
    <mergeCell ref="O3:O4"/>
    <mergeCell ref="P3:P4"/>
    <mergeCell ref="Q3:Q4"/>
    <mergeCell ref="A5:P5"/>
    <mergeCell ref="A8:P8"/>
    <mergeCell ref="A11:P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2"/>
  <sheetViews>
    <sheetView workbookViewId="0">
      <selection sqref="A1:U2"/>
    </sheetView>
  </sheetViews>
  <sheetFormatPr defaultRowHeight="12.75"/>
  <cols>
    <col min="1" max="1" width="27" style="4" bestFit="1" customWidth="1"/>
    <col min="2" max="2" width="30.85546875" style="5" bestFit="1" customWidth="1"/>
    <col min="3" max="3" width="7.7109375" style="5" bestFit="1" customWidth="1"/>
    <col min="4" max="4" width="9.28515625" style="5" bestFit="1" customWidth="1"/>
    <col min="5" max="5" width="17.28515625" style="4" bestFit="1" customWidth="1"/>
    <col min="6" max="6" width="15.85546875" style="4" bestFit="1" customWidth="1"/>
    <col min="7" max="9" width="4.5703125" style="5" bestFit="1" customWidth="1"/>
    <col min="10" max="10" width="5" style="5" bestFit="1" customWidth="1"/>
    <col min="11" max="11" width="6.140625" style="4" bestFit="1" customWidth="1"/>
    <col min="12" max="12" width="7.5703125" style="5" bestFit="1" customWidth="1"/>
    <col min="13" max="13" width="7.42578125" style="4" bestFit="1" customWidth="1"/>
    <col min="14" max="16384" width="9.140625" style="3"/>
  </cols>
  <sheetData>
    <row r="1" spans="1:13" s="2" customFormat="1" ht="29.1" customHeight="1">
      <c r="A1" s="46" t="s">
        <v>880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</row>
    <row r="2" spans="1:13" s="2" customFormat="1" ht="62.1" customHeight="1" thickBot="1">
      <c r="A2" s="49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1"/>
    </row>
    <row r="3" spans="1:13" s="1" customFormat="1" ht="12.75" customHeight="1">
      <c r="A3" s="52" t="s">
        <v>0</v>
      </c>
      <c r="B3" s="54" t="s">
        <v>10</v>
      </c>
      <c r="C3" s="54" t="s">
        <v>8</v>
      </c>
      <c r="D3" s="56" t="s">
        <v>12</v>
      </c>
      <c r="E3" s="56" t="s">
        <v>1</v>
      </c>
      <c r="F3" s="57" t="s">
        <v>13</v>
      </c>
      <c r="G3" s="52" t="s">
        <v>868</v>
      </c>
      <c r="H3" s="56"/>
      <c r="I3" s="56"/>
      <c r="J3" s="59"/>
      <c r="K3" s="61" t="s">
        <v>175</v>
      </c>
      <c r="L3" s="56" t="s">
        <v>6</v>
      </c>
      <c r="M3" s="59" t="s">
        <v>5</v>
      </c>
    </row>
    <row r="4" spans="1:13" s="1" customFormat="1" ht="23.25" customHeight="1" thickBot="1">
      <c r="A4" s="53"/>
      <c r="B4" s="55"/>
      <c r="C4" s="55"/>
      <c r="D4" s="55"/>
      <c r="E4" s="55"/>
      <c r="F4" s="58"/>
      <c r="G4" s="6">
        <v>1</v>
      </c>
      <c r="H4" s="7">
        <v>2</v>
      </c>
      <c r="I4" s="7">
        <v>3</v>
      </c>
      <c r="J4" s="8" t="s">
        <v>7</v>
      </c>
      <c r="K4" s="62"/>
      <c r="L4" s="55"/>
      <c r="M4" s="63"/>
    </row>
    <row r="5" spans="1:13" s="5" customFormat="1" ht="15">
      <c r="A5" s="64" t="s">
        <v>45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4"/>
    </row>
    <row r="6" spans="1:13" s="5" customFormat="1">
      <c r="A6" s="17" t="s">
        <v>859</v>
      </c>
      <c r="B6" s="15" t="s">
        <v>860</v>
      </c>
      <c r="C6" s="15" t="s">
        <v>861</v>
      </c>
      <c r="D6" s="15" t="str">
        <f>"0,6730"</f>
        <v>0,6730</v>
      </c>
      <c r="E6" s="17" t="s">
        <v>19</v>
      </c>
      <c r="F6" s="17" t="s">
        <v>20</v>
      </c>
      <c r="G6" s="15" t="s">
        <v>538</v>
      </c>
      <c r="H6" s="18" t="s">
        <v>771</v>
      </c>
      <c r="I6" s="15" t="s">
        <v>227</v>
      </c>
      <c r="J6" s="18"/>
      <c r="K6" s="17" t="str">
        <f>"75,0"</f>
        <v>75,0</v>
      </c>
      <c r="L6" s="15" t="str">
        <f>"50,4750"</f>
        <v>50,4750</v>
      </c>
      <c r="M6" s="17"/>
    </row>
    <row r="7" spans="1:13" s="5" customFormat="1">
      <c r="A7" s="4"/>
      <c r="E7" s="4"/>
      <c r="F7" s="4"/>
      <c r="K7" s="4"/>
      <c r="M7" s="4"/>
    </row>
    <row r="8" spans="1:13" ht="15">
      <c r="A8" s="60" t="s">
        <v>54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3">
      <c r="A9" s="17" t="s">
        <v>244</v>
      </c>
      <c r="B9" s="15" t="s">
        <v>245</v>
      </c>
      <c r="C9" s="15" t="s">
        <v>246</v>
      </c>
      <c r="D9" s="15" t="str">
        <f>"0,6241"</f>
        <v>0,6241</v>
      </c>
      <c r="E9" s="17" t="s">
        <v>19</v>
      </c>
      <c r="F9" s="17" t="s">
        <v>247</v>
      </c>
      <c r="G9" s="15" t="s">
        <v>762</v>
      </c>
      <c r="H9" s="15" t="s">
        <v>216</v>
      </c>
      <c r="I9" s="15" t="s">
        <v>225</v>
      </c>
      <c r="J9" s="18"/>
      <c r="K9" s="17" t="str">
        <f>"60,0"</f>
        <v>60,0</v>
      </c>
      <c r="L9" s="15" t="str">
        <f>"38,6068"</f>
        <v>38,6068</v>
      </c>
      <c r="M9" s="17"/>
    </row>
    <row r="11" spans="1:13" ht="15">
      <c r="A11" s="60" t="s">
        <v>81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3">
      <c r="A12" s="17" t="s">
        <v>863</v>
      </c>
      <c r="B12" s="15" t="s">
        <v>864</v>
      </c>
      <c r="C12" s="15" t="s">
        <v>800</v>
      </c>
      <c r="D12" s="15" t="str">
        <f>"0,5885"</f>
        <v>0,5885</v>
      </c>
      <c r="E12" s="17" t="s">
        <v>19</v>
      </c>
      <c r="F12" s="17" t="s">
        <v>20</v>
      </c>
      <c r="G12" s="15" t="s">
        <v>539</v>
      </c>
      <c r="H12" s="18" t="s">
        <v>771</v>
      </c>
      <c r="I12" s="18" t="s">
        <v>771</v>
      </c>
      <c r="J12" s="18"/>
      <c r="K12" s="17" t="str">
        <f>"67,5"</f>
        <v>67,5</v>
      </c>
      <c r="L12" s="15" t="str">
        <f>"39,7238"</f>
        <v>39,7238</v>
      </c>
      <c r="M12" s="17"/>
    </row>
    <row r="14" spans="1:13" ht="15">
      <c r="A14" s="60" t="s">
        <v>87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3">
      <c r="A15" s="9" t="s">
        <v>882</v>
      </c>
      <c r="B15" s="10" t="s">
        <v>883</v>
      </c>
      <c r="C15" s="10" t="s">
        <v>884</v>
      </c>
      <c r="D15" s="10" t="str">
        <f>"0,5594"</f>
        <v>0,5594</v>
      </c>
      <c r="E15" s="9" t="s">
        <v>19</v>
      </c>
      <c r="F15" s="9" t="s">
        <v>885</v>
      </c>
      <c r="G15" s="10" t="s">
        <v>422</v>
      </c>
      <c r="H15" s="10" t="s">
        <v>215</v>
      </c>
      <c r="I15" s="10" t="s">
        <v>225</v>
      </c>
      <c r="J15" s="11"/>
      <c r="K15" s="9" t="str">
        <f>"60,0"</f>
        <v>60,0</v>
      </c>
      <c r="L15" s="10" t="str">
        <f>"33,5640"</f>
        <v>33,5640</v>
      </c>
      <c r="M15" s="9"/>
    </row>
    <row r="16" spans="1:13">
      <c r="A16" s="19" t="s">
        <v>267</v>
      </c>
      <c r="B16" s="16" t="s">
        <v>268</v>
      </c>
      <c r="C16" s="16" t="s">
        <v>269</v>
      </c>
      <c r="D16" s="16" t="str">
        <f>"0,5758"</f>
        <v>0,5758</v>
      </c>
      <c r="E16" s="19" t="s">
        <v>19</v>
      </c>
      <c r="F16" s="19" t="s">
        <v>270</v>
      </c>
      <c r="G16" s="16" t="s">
        <v>544</v>
      </c>
      <c r="H16" s="16" t="s">
        <v>537</v>
      </c>
      <c r="I16" s="20" t="s">
        <v>539</v>
      </c>
      <c r="J16" s="20"/>
      <c r="K16" s="19" t="str">
        <f>"62,5"</f>
        <v>62,5</v>
      </c>
      <c r="L16" s="16" t="str">
        <f>"35,9875"</f>
        <v>35,9875</v>
      </c>
      <c r="M16" s="19"/>
    </row>
    <row r="17" spans="1:13">
      <c r="A17" s="12" t="s">
        <v>882</v>
      </c>
      <c r="B17" s="13" t="s">
        <v>886</v>
      </c>
      <c r="C17" s="13" t="s">
        <v>884</v>
      </c>
      <c r="D17" s="13" t="str">
        <f>"0,5594"</f>
        <v>0,5594</v>
      </c>
      <c r="E17" s="12" t="s">
        <v>19</v>
      </c>
      <c r="F17" s="12" t="s">
        <v>885</v>
      </c>
      <c r="G17" s="13" t="s">
        <v>422</v>
      </c>
      <c r="H17" s="13" t="s">
        <v>215</v>
      </c>
      <c r="I17" s="13" t="s">
        <v>225</v>
      </c>
      <c r="J17" s="14"/>
      <c r="K17" s="12" t="str">
        <f>"60,0"</f>
        <v>60,0</v>
      </c>
      <c r="L17" s="13" t="str">
        <f>"37,4910"</f>
        <v>37,4910</v>
      </c>
      <c r="M17" s="12"/>
    </row>
    <row r="19" spans="1:13" ht="15">
      <c r="E19" s="21" t="s">
        <v>128</v>
      </c>
    </row>
    <row r="20" spans="1:13" ht="15">
      <c r="E20" s="21" t="s">
        <v>129</v>
      </c>
    </row>
    <row r="21" spans="1:13" ht="15">
      <c r="E21" s="21" t="s">
        <v>130</v>
      </c>
    </row>
    <row r="22" spans="1:13">
      <c r="E22" s="4" t="s">
        <v>131</v>
      </c>
    </row>
    <row r="23" spans="1:13">
      <c r="E23" s="4" t="s">
        <v>132</v>
      </c>
    </row>
    <row r="24" spans="1:13">
      <c r="E24" s="4" t="s">
        <v>133</v>
      </c>
    </row>
    <row r="27" spans="1:13" ht="18">
      <c r="A27" s="22" t="s">
        <v>134</v>
      </c>
      <c r="B27" s="23"/>
    </row>
    <row r="28" spans="1:13" ht="15">
      <c r="A28" s="24" t="s">
        <v>145</v>
      </c>
      <c r="B28" s="25"/>
    </row>
    <row r="29" spans="1:13" ht="14.25">
      <c r="A29" s="27"/>
      <c r="B29" s="28" t="s">
        <v>143</v>
      </c>
    </row>
    <row r="30" spans="1:13" ht="15">
      <c r="A30" s="29" t="s">
        <v>0</v>
      </c>
      <c r="B30" s="29" t="s">
        <v>137</v>
      </c>
      <c r="C30" s="29" t="s">
        <v>138</v>
      </c>
      <c r="D30" s="29" t="s">
        <v>139</v>
      </c>
      <c r="E30" s="29" t="s">
        <v>12</v>
      </c>
    </row>
    <row r="31" spans="1:13">
      <c r="A31" s="26" t="s">
        <v>858</v>
      </c>
      <c r="B31" s="5" t="s">
        <v>143</v>
      </c>
      <c r="C31" s="5" t="s">
        <v>173</v>
      </c>
      <c r="D31" s="5" t="s">
        <v>227</v>
      </c>
      <c r="E31" s="30" t="s">
        <v>887</v>
      </c>
    </row>
    <row r="32" spans="1:13">
      <c r="A32" s="26" t="s">
        <v>862</v>
      </c>
      <c r="B32" s="5" t="s">
        <v>143</v>
      </c>
      <c r="C32" s="5" t="s">
        <v>166</v>
      </c>
      <c r="D32" s="5" t="s">
        <v>539</v>
      </c>
      <c r="E32" s="30" t="s">
        <v>888</v>
      </c>
    </row>
    <row r="33" spans="1:5">
      <c r="A33" s="26" t="s">
        <v>881</v>
      </c>
      <c r="B33" s="5" t="s">
        <v>143</v>
      </c>
      <c r="C33" s="5" t="s">
        <v>161</v>
      </c>
      <c r="D33" s="5" t="s">
        <v>225</v>
      </c>
      <c r="E33" s="30" t="s">
        <v>889</v>
      </c>
    </row>
    <row r="35" spans="1:5" ht="14.25">
      <c r="A35" s="27"/>
      <c r="B35" s="28" t="s">
        <v>328</v>
      </c>
    </row>
    <row r="36" spans="1:5" ht="15">
      <c r="A36" s="29" t="s">
        <v>0</v>
      </c>
      <c r="B36" s="29" t="s">
        <v>137</v>
      </c>
      <c r="C36" s="29" t="s">
        <v>138</v>
      </c>
      <c r="D36" s="29" t="s">
        <v>139</v>
      </c>
      <c r="E36" s="29" t="s">
        <v>12</v>
      </c>
    </row>
    <row r="37" spans="1:5">
      <c r="A37" s="26" t="s">
        <v>266</v>
      </c>
      <c r="B37" s="5" t="s">
        <v>329</v>
      </c>
      <c r="C37" s="5" t="s">
        <v>161</v>
      </c>
      <c r="D37" s="5" t="s">
        <v>537</v>
      </c>
      <c r="E37" s="30" t="s">
        <v>890</v>
      </c>
    </row>
    <row r="39" spans="1:5" ht="14.25">
      <c r="A39" s="27"/>
      <c r="B39" s="28" t="s">
        <v>164</v>
      </c>
    </row>
    <row r="40" spans="1:5" ht="15">
      <c r="A40" s="29" t="s">
        <v>0</v>
      </c>
      <c r="B40" s="29" t="s">
        <v>137</v>
      </c>
      <c r="C40" s="29" t="s">
        <v>138</v>
      </c>
      <c r="D40" s="29" t="s">
        <v>139</v>
      </c>
      <c r="E40" s="29" t="s">
        <v>12</v>
      </c>
    </row>
    <row r="41" spans="1:5">
      <c r="A41" s="26" t="s">
        <v>243</v>
      </c>
      <c r="B41" s="5" t="s">
        <v>172</v>
      </c>
      <c r="C41" s="5" t="s">
        <v>147</v>
      </c>
      <c r="D41" s="5" t="s">
        <v>225</v>
      </c>
      <c r="E41" s="30" t="s">
        <v>891</v>
      </c>
    </row>
    <row r="42" spans="1:5">
      <c r="A42" s="26" t="s">
        <v>881</v>
      </c>
      <c r="B42" s="5" t="s">
        <v>339</v>
      </c>
      <c r="C42" s="5" t="s">
        <v>161</v>
      </c>
      <c r="D42" s="5" t="s">
        <v>225</v>
      </c>
      <c r="E42" s="30" t="s">
        <v>892</v>
      </c>
    </row>
  </sheetData>
  <mergeCells count="15">
    <mergeCell ref="A1:M2"/>
    <mergeCell ref="A3:A4"/>
    <mergeCell ref="B3:B4"/>
    <mergeCell ref="C3:C4"/>
    <mergeCell ref="D3:D4"/>
    <mergeCell ref="E3:E4"/>
    <mergeCell ref="F3:F4"/>
    <mergeCell ref="G3:J3"/>
    <mergeCell ref="A14:L14"/>
    <mergeCell ref="K3:K4"/>
    <mergeCell ref="L3:L4"/>
    <mergeCell ref="M3:M4"/>
    <mergeCell ref="A5:L5"/>
    <mergeCell ref="A8:L8"/>
    <mergeCell ref="A11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AWPC MP soft eq. BP</vt:lpstr>
      <vt:lpstr>WPC soft eq. BP</vt:lpstr>
      <vt:lpstr>MR BP 1 bw. AWPC</vt:lpstr>
      <vt:lpstr>MR BP 1 bw. WPC</vt:lpstr>
      <vt:lpstr>MR BP 1_2 bw. AWPC</vt:lpstr>
      <vt:lpstr>AWPA st. soft eq. BP</vt:lpstr>
      <vt:lpstr>WPA RAW PP</vt:lpstr>
      <vt:lpstr>AWPA RAW PP</vt:lpstr>
      <vt:lpstr>WPA SC</vt:lpstr>
      <vt:lpstr>AWPA SC</vt:lpstr>
      <vt:lpstr>WPA OB</vt:lpstr>
      <vt:lpstr>AWPA OB</vt:lpstr>
      <vt:lpstr>AWPA raw PL</vt:lpstr>
      <vt:lpstr>AWPA m.ply BP</vt:lpstr>
      <vt:lpstr>AWPA st.ply BP</vt:lpstr>
      <vt:lpstr>AWPA raw BP</vt:lpstr>
      <vt:lpstr>AWPA m.ply DL</vt:lpstr>
      <vt:lpstr>AWPA raw DL</vt:lpstr>
      <vt:lpstr>WPA m.ply PL</vt:lpstr>
      <vt:lpstr>WPA st.ply PL</vt:lpstr>
      <vt:lpstr>WPA raw PL</vt:lpstr>
      <vt:lpstr>WPA m.ply BP</vt:lpstr>
      <vt:lpstr>WPA st.ply BP</vt:lpstr>
      <vt:lpstr>WPA raw BP</vt:lpstr>
      <vt:lpstr>WPA m.ply DL</vt:lpstr>
      <vt:lpstr>WPA st.ply DL</vt:lpstr>
      <vt:lpstr>WPA raw DL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Franz</cp:lastModifiedBy>
  <cp:lastPrinted>2008-02-22T21:19:54Z</cp:lastPrinted>
  <dcterms:created xsi:type="dcterms:W3CDTF">2002-06-16T13:36:44Z</dcterms:created>
  <dcterms:modified xsi:type="dcterms:W3CDTF">2019-11-07T19:17:07Z</dcterms:modified>
</cp:coreProperties>
</file>