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1"/>
  </bookViews>
  <sheets>
    <sheet name="WPC benchpress soft-equipment" sheetId="1" r:id="rId1"/>
    <sheet name="WPC single-ply benchpress" sheetId="2" r:id="rId2"/>
    <sheet name="WPC multi-ply benchpress" sheetId="3" r:id="rId3"/>
    <sheet name="WPC raw benchpress" sheetId="4" r:id="rId4"/>
    <sheet name="WPC raw benchpress DISABLED" sheetId="5" r:id="rId5"/>
    <sheet name="WPC raw deadlift" sheetId="6" r:id="rId6"/>
    <sheet name="WPC single-ply deadlift" sheetId="7" r:id="rId7"/>
    <sheet name="WPC multy-ply deadlift" sheetId="8" r:id="rId8"/>
    <sheet name="WPC multi-ply powerlifting" sheetId="9" r:id="rId9"/>
    <sheet name="WPC single-ply powerlifting" sheetId="10" r:id="rId10"/>
    <sheet name="WPC raw powerlifting" sheetId="11" r:id="rId11"/>
    <sheet name="WPC Powerlifting Classic Raw" sheetId="12" r:id="rId12"/>
    <sheet name="M-Rep BP WPC 0.5 bw" sheetId="13" r:id="rId13"/>
    <sheet name="M-rep BP WPC 1 bw" sheetId="14" r:id="rId14"/>
    <sheet name="AWPC benchpress soft-equipment " sheetId="15" r:id="rId15"/>
    <sheet name="AWPC multi-ply benchpress" sheetId="16" r:id="rId16"/>
    <sheet name="AWPC single-ply benchpress" sheetId="17" r:id="rId17"/>
    <sheet name="AWPC raw benchpress" sheetId="18" r:id="rId18"/>
    <sheet name="AWPC single-ply deadlift" sheetId="19" r:id="rId19"/>
    <sheet name="AWPC raw deadlift" sheetId="20" r:id="rId20"/>
    <sheet name="AWPC Powerlifting Classic Raw" sheetId="21" r:id="rId21"/>
    <sheet name="AWPC multi-ply powerlifting" sheetId="22" r:id="rId22"/>
    <sheet name="AWPC single-ply powerlifting" sheetId="23" r:id="rId23"/>
    <sheet name="AWPC raw powerlifting" sheetId="24" r:id="rId24"/>
    <sheet name="M-rep BP AWPC 1 bw" sheetId="25" r:id="rId25"/>
    <sheet name="M-Rep BP AWPC 0.5 bw" sheetId="26" r:id="rId26"/>
  </sheets>
  <definedNames>
    <definedName name="Excel_BuiltIn__FilterDatabase" localSheetId="11">'WPC Powerlifting Classic Raw'!$A$1:$R$3</definedName>
    <definedName name="Excel_BuiltIn__FilterDatabase" localSheetId="25">'M-Rep BP AWPC 0.5 bw'!$A$1:$J$3</definedName>
  </definedNames>
  <calcPr fullCalcOnLoad="1"/>
</workbook>
</file>

<file path=xl/sharedStrings.xml><?xml version="1.0" encoding="utf-8"?>
<sst xmlns="http://schemas.openxmlformats.org/spreadsheetml/2006/main" count="12521" uniqueCount="3128">
  <si>
    <t>World Championship WPC benchpress soft-equipment
Dolgoprudniy, Russia 03-05 November 2017</t>
  </si>
  <si>
    <t>Name</t>
  </si>
  <si>
    <t xml:space="preserve">Age Categoty
Bith date/Age
</t>
  </si>
  <si>
    <t>Body
weight</t>
  </si>
  <si>
    <t>Gloss</t>
  </si>
  <si>
    <t>Team</t>
  </si>
  <si>
    <t>Benchpress</t>
  </si>
  <si>
    <t>Total</t>
  </si>
  <si>
    <t>Pts</t>
  </si>
  <si>
    <t>Coach</t>
  </si>
  <si>
    <t>Rec</t>
  </si>
  <si>
    <t>Body Weight Category  67.5</t>
  </si>
  <si>
    <t>Kolesnikova Anna</t>
  </si>
  <si>
    <t>Open (03.03.1998)/19</t>
  </si>
  <si>
    <t>65,30</t>
  </si>
  <si>
    <t>Russia</t>
  </si>
  <si>
    <t>100,0</t>
  </si>
  <si>
    <t>110,0</t>
  </si>
  <si>
    <t>115,0</t>
  </si>
  <si>
    <t>Prokopova Elena</t>
  </si>
  <si>
    <t>Masters 50-54 (07.03.1966)/51</t>
  </si>
  <si>
    <t>65,90</t>
  </si>
  <si>
    <t>90,0</t>
  </si>
  <si>
    <t>95,0</t>
  </si>
  <si>
    <t>97,5</t>
  </si>
  <si>
    <t>Body Weight Category  75</t>
  </si>
  <si>
    <t>Umerenkova Yuliya</t>
  </si>
  <si>
    <t>Open (09.12.1980)/37</t>
  </si>
  <si>
    <t>72,60</t>
  </si>
  <si>
    <t>120,0</t>
  </si>
  <si>
    <t>130,0</t>
  </si>
  <si>
    <t>Umerenkov I.Yu.</t>
  </si>
  <si>
    <t>Baklykova Olga</t>
  </si>
  <si>
    <t>Masters 50-54 (07.05.1964)/53</t>
  </si>
  <si>
    <t>73,90</t>
  </si>
  <si>
    <t>125,0</t>
  </si>
  <si>
    <t>140,0</t>
  </si>
  <si>
    <t>Telidis Kostas</t>
  </si>
  <si>
    <t>Open (18.04.1989)/28</t>
  </si>
  <si>
    <t>75,00</t>
  </si>
  <si>
    <t>220,0</t>
  </si>
  <si>
    <t>240,0</t>
  </si>
  <si>
    <t>250,0</t>
  </si>
  <si>
    <t>Telidis Ye.O.</t>
  </si>
  <si>
    <t>Semenov Konstantin</t>
  </si>
  <si>
    <t>Open (24.08.1964)/53</t>
  </si>
  <si>
    <t>170,0</t>
  </si>
  <si>
    <t>180,0</t>
  </si>
  <si>
    <t>Masters 50-54 (24.08.1964)/53</t>
  </si>
  <si>
    <t>Body Weight Category  82.5</t>
  </si>
  <si>
    <t>Erdenetuya Erkhembayar</t>
  </si>
  <si>
    <t>Juniors 20-23 (16.12.1996)/21</t>
  </si>
  <si>
    <t>78,00</t>
  </si>
  <si>
    <t>Mongolia</t>
  </si>
  <si>
    <t>150,0</t>
  </si>
  <si>
    <t>Aliyev Mushfig</t>
  </si>
  <si>
    <t>Open (20.11.1977)/40</t>
  </si>
  <si>
    <t>76,00</t>
  </si>
  <si>
    <t>Azerbaidzhan</t>
  </si>
  <si>
    <t>Ryazanov Boris</t>
  </si>
  <si>
    <t>Masters 60-64 (13.06.1954)/63</t>
  </si>
  <si>
    <t>82,10</t>
  </si>
  <si>
    <t>135,0</t>
  </si>
  <si>
    <t>Body Weight Category  90</t>
  </si>
  <si>
    <t>Gafarov Kamil</t>
  </si>
  <si>
    <t>Open (23.03.1984)/33</t>
  </si>
  <si>
    <t>88,10</t>
  </si>
  <si>
    <t>Azerbaidjan</t>
  </si>
  <si>
    <t>260,0</t>
  </si>
  <si>
    <t>Body Weight Category  100</t>
  </si>
  <si>
    <t>Gabuev Andrey</t>
  </si>
  <si>
    <t>Juniors 20-23 (30.10.1996)/21</t>
  </si>
  <si>
    <t>98,50</t>
  </si>
  <si>
    <t>205,0</t>
  </si>
  <si>
    <t>215,0</t>
  </si>
  <si>
    <t>Taivantumur Amarzaya</t>
  </si>
  <si>
    <t>Open (02.08.1987)/30</t>
  </si>
  <si>
    <t>93,50</t>
  </si>
  <si>
    <t>230,0</t>
  </si>
  <si>
    <t>270,0</t>
  </si>
  <si>
    <t>Akentyev Valeriy</t>
  </si>
  <si>
    <t>Masters 55-59 (13.03.1958)/59</t>
  </si>
  <si>
    <t>99,00</t>
  </si>
  <si>
    <t>225,0</t>
  </si>
  <si>
    <t>Prokopov Mihail</t>
  </si>
  <si>
    <t>Masters 60-64 (10.06.1956)/61</t>
  </si>
  <si>
    <t>100,00</t>
  </si>
  <si>
    <t>200,0</t>
  </si>
  <si>
    <t>210,0</t>
  </si>
  <si>
    <t>Tsvetkov Alexandr</t>
  </si>
  <si>
    <t>Masters 60-64 (10.04.1957)/60</t>
  </si>
  <si>
    <t>97,40</t>
  </si>
  <si>
    <t>165,0</t>
  </si>
  <si>
    <t>175,0</t>
  </si>
  <si>
    <t>Body Weight Category  110</t>
  </si>
  <si>
    <t>Synkov Vasiliy</t>
  </si>
  <si>
    <t>Open (07.09.1972)/45</t>
  </si>
  <si>
    <t>105,30</t>
  </si>
  <si>
    <t>310,0</t>
  </si>
  <si>
    <t>330,0</t>
  </si>
  <si>
    <t>335,0</t>
  </si>
  <si>
    <t>Pavlikov Aleksey</t>
  </si>
  <si>
    <t>Open (21.07.1982)/35</t>
  </si>
  <si>
    <t>108,80</t>
  </si>
  <si>
    <t>290,0</t>
  </si>
  <si>
    <t>305,0</t>
  </si>
  <si>
    <t>307,5</t>
  </si>
  <si>
    <t>Ahmadov Mustafa</t>
  </si>
  <si>
    <t>Open (15.10.1980)/37</t>
  </si>
  <si>
    <t>104,10</t>
  </si>
  <si>
    <t>292,5</t>
  </si>
  <si>
    <t>Masters 45-49 (07.09.1972)/45</t>
  </si>
  <si>
    <t>Chusovskoy Mikhail</t>
  </si>
  <si>
    <t>Masters 45-49 (21.09.1972)/45</t>
  </si>
  <si>
    <t>108,90</t>
  </si>
  <si>
    <t>240</t>
  </si>
  <si>
    <t>142,824</t>
  </si>
  <si>
    <t>Israilov Arbi</t>
  </si>
  <si>
    <t>Masters 45-49 (20.07.1968)/49</t>
  </si>
  <si>
    <t>108,00</t>
  </si>
  <si>
    <t>145,0</t>
  </si>
  <si>
    <t>Kurotchenko Igor</t>
  </si>
  <si>
    <t>Masters 55-59 (20.03.1962)/55</t>
  </si>
  <si>
    <t>108,60</t>
  </si>
  <si>
    <t>Grachik Vaginakovich</t>
  </si>
  <si>
    <t>Masters 65-69 (10.08.1952)/65</t>
  </si>
  <si>
    <t>106,40</t>
  </si>
  <si>
    <t>Body Weight Category  125</t>
  </si>
  <si>
    <t>Listopad Ivan</t>
  </si>
  <si>
    <t>Juniors 20-23 (29.05.1995)/22</t>
  </si>
  <si>
    <t>114,60</t>
  </si>
  <si>
    <t>190,0</t>
  </si>
  <si>
    <t>Jafarov Zaur</t>
  </si>
  <si>
    <t>Open (05.09.1980)/37</t>
  </si>
  <si>
    <t>112,20</t>
  </si>
  <si>
    <t>Body Weight Category  140</t>
  </si>
  <si>
    <t>Kolesnichenko Sergey</t>
  </si>
  <si>
    <t>Open (19.11.1979)/38</t>
  </si>
  <si>
    <t>134,20</t>
  </si>
  <si>
    <t>322,5</t>
  </si>
  <si>
    <t>Body Weight Category  140+</t>
  </si>
  <si>
    <t>Lazarev Sergey</t>
  </si>
  <si>
    <t>Masters 55-59 (04.04.1960)/57</t>
  </si>
  <si>
    <t>151,30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</si>
  <si>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</si>
  <si>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</si>
  <si>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</si>
  <si>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</si>
  <si>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</si>
  <si>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</si>
  <si>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</si>
  <si>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Women</t>
  </si>
  <si>
    <t>Open</t>
  </si>
  <si>
    <t>Age class</t>
  </si>
  <si>
    <t>WC</t>
  </si>
  <si>
    <t>Coef.</t>
  </si>
  <si>
    <t>75</t>
  </si>
  <si>
    <t>111,1110</t>
  </si>
  <si>
    <t>67.5</t>
  </si>
  <si>
    <t>106,1738</t>
  </si>
  <si>
    <t>Masters</t>
  </si>
  <si>
    <t>Masters 50-54</t>
  </si>
  <si>
    <t>139,9760</t>
  </si>
  <si>
    <t>102,5113</t>
  </si>
  <si>
    <t>Man</t>
  </si>
  <si>
    <t>Junior</t>
  </si>
  <si>
    <t>Juniors 20-23</t>
  </si>
  <si>
    <t>100</t>
  </si>
  <si>
    <t>125,7857</t>
  </si>
  <si>
    <t>125</t>
  </si>
  <si>
    <t>111,3300</t>
  </si>
  <si>
    <t>82.5</t>
  </si>
  <si>
    <t>100,4025</t>
  </si>
  <si>
    <t>110</t>
  </si>
  <si>
    <t>190,9835</t>
  </si>
  <si>
    <t>140</t>
  </si>
  <si>
    <t>176,9625</t>
  </si>
  <si>
    <t>173,5069</t>
  </si>
  <si>
    <t>167,4270</t>
  </si>
  <si>
    <t>165,2520</t>
  </si>
  <si>
    <t>149,9125</t>
  </si>
  <si>
    <t>90</t>
  </si>
  <si>
    <t>148,6200</t>
  </si>
  <si>
    <t>128,6850</t>
  </si>
  <si>
    <t>117,0535</t>
  </si>
  <si>
    <t>115,9230</t>
  </si>
  <si>
    <t>Masters 65-69</t>
  </si>
  <si>
    <t>201,7891</t>
  </si>
  <si>
    <t>Masters 45-49</t>
  </si>
  <si>
    <t>201,4876</t>
  </si>
  <si>
    <t>Masters 55-59</t>
  </si>
  <si>
    <t>172,7318</t>
  </si>
  <si>
    <t>Masters 60-64</t>
  </si>
  <si>
    <t>166,7517</t>
  </si>
  <si>
    <t>140+</t>
  </si>
  <si>
    <t>139,0448</t>
  </si>
  <si>
    <t>138,5913</t>
  </si>
  <si>
    <t>138,3147</t>
  </si>
  <si>
    <t>137,8335</t>
  </si>
  <si>
    <t>130,0068</t>
  </si>
  <si>
    <t>103,8513</t>
  </si>
  <si>
    <t>World Championship WPC single-ply benchpress
Dolgoprudniy, Russia 03-05 November 2017</t>
  </si>
  <si>
    <t>Body Weight Category  60</t>
  </si>
  <si>
    <t>Kuznetsova Yuliya</t>
  </si>
  <si>
    <t>Open (15.05.1973)/44</t>
  </si>
  <si>
    <t>59,80</t>
  </si>
  <si>
    <t>132,5</t>
  </si>
  <si>
    <t>Ponomarev V.A.</t>
  </si>
  <si>
    <t>Ylitalo-James Emma</t>
  </si>
  <si>
    <t>Open (24.11.1969)/48</t>
  </si>
  <si>
    <t>81,00</t>
  </si>
  <si>
    <t>United Kingdom</t>
  </si>
  <si>
    <t>195,0</t>
  </si>
  <si>
    <t>Body Weight Category  52</t>
  </si>
  <si>
    <t>Trubin Stanislav</t>
  </si>
  <si>
    <t>Juniors 20-23 (14.10.1995)/22</t>
  </si>
  <si>
    <t>50,40</t>
  </si>
  <si>
    <t>105,0</t>
  </si>
  <si>
    <t>112,5</t>
  </si>
  <si>
    <t>232,5</t>
  </si>
  <si>
    <t>Eldin Vincent</t>
  </si>
  <si>
    <t>Masters 45-49 (15.04.1972)/45</t>
  </si>
  <si>
    <t>74,30</t>
  </si>
  <si>
    <t>France</t>
  </si>
  <si>
    <t>187,5</t>
  </si>
  <si>
    <t>Delbasteh Saleh</t>
  </si>
  <si>
    <t>Juniors 20-23 (09.05.1996)/21</t>
  </si>
  <si>
    <t>81,30</t>
  </si>
  <si>
    <t>Iran</t>
  </si>
  <si>
    <t>Wahlstrom Arttu</t>
  </si>
  <si>
    <t>Open (07.10.1986)/31</t>
  </si>
  <si>
    <t>81,20</t>
  </si>
  <si>
    <t>Finland</t>
  </si>
  <si>
    <t>222,5</t>
  </si>
  <si>
    <t>Bulgarevich Stanislav</t>
  </si>
  <si>
    <t>Open (12.05.1986)/31</t>
  </si>
  <si>
    <t>77,60</t>
  </si>
  <si>
    <t>Kandaurov Sergey</t>
  </si>
  <si>
    <t>Masters 40-44 (29.05.1974)/43</t>
  </si>
  <si>
    <t>82,40</t>
  </si>
  <si>
    <t>185,0</t>
  </si>
  <si>
    <t>185</t>
  </si>
  <si>
    <t>123,0431</t>
  </si>
  <si>
    <t>Emelin Evgeniy</t>
  </si>
  <si>
    <t>Masters 50-54 (01.10.1964)/53</t>
  </si>
  <si>
    <t>75,20</t>
  </si>
  <si>
    <t>155,0</t>
  </si>
  <si>
    <t>Krasnov Nikolay</t>
  </si>
  <si>
    <t>Masters 55-59 (22.07.1960)/57</t>
  </si>
  <si>
    <t>82,00</t>
  </si>
  <si>
    <t>212,5</t>
  </si>
  <si>
    <t>Nikiforov Sergey</t>
  </si>
  <si>
    <t>Masters 70-74 (02.10.1947)/70</t>
  </si>
  <si>
    <t>79,40</t>
  </si>
  <si>
    <t>145</t>
  </si>
  <si>
    <t>157,7127</t>
  </si>
  <si>
    <t>Herrmann Peter</t>
  </si>
  <si>
    <t>Masters 75-79 (13.03.1942)/75</t>
  </si>
  <si>
    <t>79,00</t>
  </si>
  <si>
    <t>Switzerland</t>
  </si>
  <si>
    <t>107,5</t>
  </si>
  <si>
    <t>Yakush Segey</t>
  </si>
  <si>
    <t>Juniors 20-23 (10.03.1995)/22</t>
  </si>
  <si>
    <t>88,30</t>
  </si>
  <si>
    <t>Uglichin Ilya</t>
  </si>
  <si>
    <t>Open (16.03.1987)/30</t>
  </si>
  <si>
    <t>89,40</t>
  </si>
  <si>
    <t>237,5</t>
  </si>
  <si>
    <t>142,7899</t>
  </si>
  <si>
    <t>Hajiyev Kanan</t>
  </si>
  <si>
    <t>Open (23.03.1989)/28</t>
  </si>
  <si>
    <t>85,50</t>
  </si>
  <si>
    <t>Volkov Maksim</t>
  </si>
  <si>
    <t>Open (05.09.1984)/33</t>
  </si>
  <si>
    <t>85,70</t>
  </si>
  <si>
    <t>Open (10.03.1995)/22</t>
  </si>
  <si>
    <t>Saghaei Javad</t>
  </si>
  <si>
    <t>Open (11.04.1976)/41</t>
  </si>
  <si>
    <t>98,90</t>
  </si>
  <si>
    <t>252,5</t>
  </si>
  <si>
    <t>267,5</t>
  </si>
  <si>
    <t>281,0</t>
  </si>
  <si>
    <t>265,0</t>
  </si>
  <si>
    <t>275,0</t>
  </si>
  <si>
    <t>Solntsev Ivan</t>
  </si>
  <si>
    <t>Open (25.03.1974)/43</t>
  </si>
  <si>
    <t>99,40</t>
  </si>
  <si>
    <t>Karpov Denis</t>
  </si>
  <si>
    <t>Open (20.04.1981)/36</t>
  </si>
  <si>
    <t>Masters 40-44 (11.04.1976)/41</t>
  </si>
  <si>
    <t>Masters 40-44 (25.03.1974)/43</t>
  </si>
  <si>
    <t>Shirokov Mikhail</t>
  </si>
  <si>
    <t>Teen 18-19 (03.06.1999)/18</t>
  </si>
  <si>
    <t>109,90</t>
  </si>
  <si>
    <t>227,5</t>
  </si>
  <si>
    <t>Alyshev Nikolay</t>
  </si>
  <si>
    <t>Open (14.10.1985)/32</t>
  </si>
  <si>
    <t>108,30</t>
  </si>
  <si>
    <t>315,0</t>
  </si>
  <si>
    <t>323,0</t>
  </si>
  <si>
    <t>Nagaytsev Oleg</t>
  </si>
  <si>
    <t>Open (19.03.1987)/30</t>
  </si>
  <si>
    <t>102,10</t>
  </si>
  <si>
    <t>Aliyev Ali</t>
  </si>
  <si>
    <t>Open (28.01.1994)/23</t>
  </si>
  <si>
    <t>109,30</t>
  </si>
  <si>
    <t>Peshko Vladimir</t>
  </si>
  <si>
    <t>Masters 45-49 (12.02.1970)/47</t>
  </si>
  <si>
    <t>106,80</t>
  </si>
  <si>
    <t>Frank Vyacheslav</t>
  </si>
  <si>
    <t>Masters 55-59 (03.03.1962)/55</t>
  </si>
  <si>
    <t>100,30</t>
  </si>
  <si>
    <t>162,5</t>
  </si>
  <si>
    <t>Ponomarev Vitaliy</t>
  </si>
  <si>
    <t>Masters 60-64 (17.02.1957)/60</t>
  </si>
  <si>
    <t>102,90</t>
  </si>
  <si>
    <t>235,0</t>
  </si>
  <si>
    <t>Abdyushev Eduard</t>
  </si>
  <si>
    <t>Masters 60-64 (02.03.1955)/62</t>
  </si>
  <si>
    <t>107,70</t>
  </si>
  <si>
    <t>Dvizov Yuriy</t>
  </si>
  <si>
    <t>Vetter Hans-Urlich</t>
  </si>
  <si>
    <t>Masters 65-69 (09.04.1952)/65</t>
  </si>
  <si>
    <t>105,40</t>
  </si>
  <si>
    <t>Germany</t>
  </si>
  <si>
    <t>William Roberts</t>
  </si>
  <si>
    <t>Masters 75-79 (16.10.1942)/75</t>
  </si>
  <si>
    <t>USA</t>
  </si>
  <si>
    <t>85,0</t>
  </si>
  <si>
    <t>89,9196</t>
  </si>
  <si>
    <t>Hosio Henrik</t>
  </si>
  <si>
    <t>Open (12.05.1979)/38</t>
  </si>
  <si>
    <t>118,00</t>
  </si>
  <si>
    <t>280,0</t>
  </si>
  <si>
    <t>Shishlyannikov Dmitriy</t>
  </si>
  <si>
    <t>Open (23.04.1980)/37</t>
  </si>
  <si>
    <t>122,80</t>
  </si>
  <si>
    <t>255,0</t>
  </si>
  <si>
    <t>Isaev Aleksey</t>
  </si>
  <si>
    <t>Open (20.06.1975)/42</t>
  </si>
  <si>
    <t>115,00</t>
  </si>
  <si>
    <t>Begalko Anton</t>
  </si>
  <si>
    <t>Open (06.11.1986)/31</t>
  </si>
  <si>
    <t>120,80</t>
  </si>
  <si>
    <t>360,0</t>
  </si>
  <si>
    <t>Masters 40-44 (20.06.1975)/42</t>
  </si>
  <si>
    <t>Gorbachev Dmitriy</t>
  </si>
  <si>
    <t>Masters 45-49 (06.03.1970)/47</t>
  </si>
  <si>
    <t>114,70</t>
  </si>
  <si>
    <t>0,0</t>
  </si>
  <si>
    <t>Halimimamghani Bahman</t>
  </si>
  <si>
    <t>Open (08.02.1984)/33</t>
  </si>
  <si>
    <t>133,00</t>
  </si>
  <si>
    <t>300,0</t>
  </si>
  <si>
    <t>300</t>
  </si>
  <si>
    <t>161,2260</t>
  </si>
  <si>
    <t>Laine Veijo</t>
  </si>
  <si>
    <t>Masters 65-69 (12.04.1952)/65</t>
  </si>
  <si>
    <t>125,70</t>
  </si>
  <si>
    <t>Zamani Danial</t>
  </si>
  <si>
    <t>Open (03.09.1991)/26</t>
  </si>
  <si>
    <t>140,60</t>
  </si>
  <si>
    <t>325,0</t>
  </si>
  <si>
    <t>336,0</t>
  </si>
  <si>
    <t>345,0</t>
  </si>
  <si>
    <t>355,0</t>
  </si>
  <si>
    <t>Lisogor Oleksii</t>
  </si>
  <si>
    <t>Open (30.04.1986)/31</t>
  </si>
  <si>
    <t>166,40</t>
  </si>
  <si>
    <t>Ukraine</t>
  </si>
  <si>
    <t>320,0</t>
  </si>
  <si>
    <t>163,0877</t>
  </si>
  <si>
    <t>60</t>
  </si>
  <si>
    <t>131,2147</t>
  </si>
  <si>
    <t>144,9752</t>
  </si>
  <si>
    <t>Teenagers</t>
  </si>
  <si>
    <t>Teen 18-19</t>
  </si>
  <si>
    <t>128,0029</t>
  </si>
  <si>
    <t>123,6520</t>
  </si>
  <si>
    <t>52</t>
  </si>
  <si>
    <t>120,0960</t>
  </si>
  <si>
    <t>183,0708</t>
  </si>
  <si>
    <t>182,2125</t>
  </si>
  <si>
    <t>163,6688</t>
  </si>
  <si>
    <t>163,5340</t>
  </si>
  <si>
    <t>160,0879</t>
  </si>
  <si>
    <t>158,9073</t>
  </si>
  <si>
    <t>154,8400</t>
  </si>
  <si>
    <t>149,7990</t>
  </si>
  <si>
    <t>144,1250</t>
  </si>
  <si>
    <t>141,2737</t>
  </si>
  <si>
    <t>139,8720</t>
  </si>
  <si>
    <t>139,7400</t>
  </si>
  <si>
    <t>139,0625</t>
  </si>
  <si>
    <t>138,6770</t>
  </si>
  <si>
    <t>73,8980</t>
  </si>
  <si>
    <t>181,0045</t>
  </si>
  <si>
    <t>174,3746</t>
  </si>
  <si>
    <t>173,4410</t>
  </si>
  <si>
    <t>Masters 40-44</t>
  </si>
  <si>
    <t>165,1693</t>
  </si>
  <si>
    <t>160,2699</t>
  </si>
  <si>
    <t>144,2080</t>
  </si>
  <si>
    <t>141,8437</t>
  </si>
  <si>
    <t>Masters 75-79</t>
  </si>
  <si>
    <t>136,9713</t>
  </si>
  <si>
    <t>126,1058</t>
  </si>
  <si>
    <t>124,3523</t>
  </si>
  <si>
    <t>120,9100</t>
  </si>
  <si>
    <t>World Championship WPC multi-ply benchpress
Dolgoprudniy, Russia 03-05 November 2017</t>
  </si>
  <si>
    <t>Rubin Grigoriy</t>
  </si>
  <si>
    <t>Masters 80up (25.04.1937)/80</t>
  </si>
  <si>
    <t>Israel</t>
  </si>
  <si>
    <t>Cacici Valentin</t>
  </si>
  <si>
    <t>Open (15.12.1989)/28</t>
  </si>
  <si>
    <t>82,30</t>
  </si>
  <si>
    <t>285,0</t>
  </si>
  <si>
    <t>Theux Didier</t>
  </si>
  <si>
    <t>Open (01.05.1958)/59</t>
  </si>
  <si>
    <t>Masters 55-59 (01.05.1958)/59</t>
  </si>
  <si>
    <t>Aliyev Bayram</t>
  </si>
  <si>
    <t>Open (20.06.1985)/32</t>
  </si>
  <si>
    <t>89,30</t>
  </si>
  <si>
    <t>Huseynov Nijat</t>
  </si>
  <si>
    <t>Open (18.09.1989)/28</t>
  </si>
  <si>
    <t>89,80</t>
  </si>
  <si>
    <t>Petrov Aleksandr</t>
  </si>
  <si>
    <t>Masters 55-59 (17.07.1960)/57</t>
  </si>
  <si>
    <t>89,90</t>
  </si>
  <si>
    <t>245,0</t>
  </si>
  <si>
    <t>Mammadov Eldar</t>
  </si>
  <si>
    <t>Open (14.08.1978)/39</t>
  </si>
  <si>
    <t>Ivanov Sergey</t>
  </si>
  <si>
    <t>Open (08.06.1990)/27</t>
  </si>
  <si>
    <t>103,40</t>
  </si>
  <si>
    <t>350,0</t>
  </si>
  <si>
    <t>330</t>
  </si>
  <si>
    <t>189,354</t>
  </si>
  <si>
    <t>Starodubskiy Sergey</t>
  </si>
  <si>
    <t>Open (20.12.1977)/40</t>
  </si>
  <si>
    <t>110,00</t>
  </si>
  <si>
    <t>302,5</t>
  </si>
  <si>
    <t>Barros Garry</t>
  </si>
  <si>
    <t>Open (28.08.1983)/34</t>
  </si>
  <si>
    <t>109,40</t>
  </si>
  <si>
    <t>Terentyev Aleksandr</t>
  </si>
  <si>
    <t>Open (15.02.1969)/48</t>
  </si>
  <si>
    <t>107,00</t>
  </si>
  <si>
    <t>Riso Richard</t>
  </si>
  <si>
    <t>Masters 45-49 (18.07.1970)/47</t>
  </si>
  <si>
    <t>107,50</t>
  </si>
  <si>
    <t>Masters 45-49 (15.02.1969)/48</t>
  </si>
  <si>
    <t>Platel Eric</t>
  </si>
  <si>
    <t>Masters 45-49 (23.09.1971)/46</t>
  </si>
  <si>
    <t>255</t>
  </si>
  <si>
    <t>153,204</t>
  </si>
  <si>
    <t>85</t>
  </si>
  <si>
    <t>89,9215</t>
  </si>
  <si>
    <t>Open (06.03.1970)/47</t>
  </si>
  <si>
    <t>Funtik Peter</t>
  </si>
  <si>
    <t>Open (31.10.1978)/39</t>
  </si>
  <si>
    <t>121,50</t>
  </si>
  <si>
    <t>Slovakia</t>
  </si>
  <si>
    <t>55,0</t>
  </si>
  <si>
    <t>380,0</t>
  </si>
  <si>
    <t>330,5</t>
  </si>
  <si>
    <t>La Comb</t>
  </si>
  <si>
    <t>Masters 50-54 (28.02.1967)/50</t>
  </si>
  <si>
    <t>124,60</t>
  </si>
  <si>
    <t>Ylittalo-James Kalle</t>
  </si>
  <si>
    <t>Open (13.06.1983)/34</t>
  </si>
  <si>
    <t>129,40</t>
  </si>
  <si>
    <t>340,0</t>
  </si>
  <si>
    <t>357,5</t>
  </si>
  <si>
    <t>365,0</t>
  </si>
  <si>
    <t>Siska Jan</t>
  </si>
  <si>
    <t>Open (15.04.1980)/37</t>
  </si>
  <si>
    <t>125,80</t>
  </si>
  <si>
    <t>Borcha Denis</t>
  </si>
  <si>
    <t>Teen 16-17 (31.01.2000)/17</t>
  </si>
  <si>
    <t>143,10</t>
  </si>
  <si>
    <t>180</t>
  </si>
  <si>
    <t>95,148</t>
  </si>
  <si>
    <t>Mihay Peter</t>
  </si>
  <si>
    <t>Masters 55-59 (27.06.1958)/59</t>
  </si>
  <si>
    <t>152,00</t>
  </si>
  <si>
    <t>160,0</t>
  </si>
  <si>
    <t>193,3825</t>
  </si>
  <si>
    <t xml:space="preserve">   Ivanov Sergey</t>
  </si>
  <si>
    <t>183,9960</t>
  </si>
  <si>
    <t>171,5625</t>
  </si>
  <si>
    <t>166,9650</t>
  </si>
  <si>
    <t>165,9960</t>
  </si>
  <si>
    <t>159,7830</t>
  </si>
  <si>
    <t>151,5280</t>
  </si>
  <si>
    <t>140,8375</t>
  </si>
  <si>
    <t>129,1200</t>
  </si>
  <si>
    <t>126,6172</t>
  </si>
  <si>
    <t>30,2170</t>
  </si>
  <si>
    <t>192,6999</t>
  </si>
  <si>
    <t>190,2016</t>
  </si>
  <si>
    <t>169,7928</t>
  </si>
  <si>
    <t>140,9294</t>
  </si>
  <si>
    <t>109,7604</t>
  </si>
  <si>
    <t>77,1084</t>
  </si>
  <si>
    <t>World Championship WPC raw benchpress
Dolgoprudniy, Russia 03-05 November 2017</t>
  </si>
  <si>
    <t>Guseva Tatjana</t>
  </si>
  <si>
    <t>Open (13.06.1982)/35</t>
  </si>
  <si>
    <t>51,30</t>
  </si>
  <si>
    <t>Latvia</t>
  </si>
  <si>
    <t>72,5</t>
  </si>
  <si>
    <t>77,5</t>
  </si>
  <si>
    <t>82,5</t>
  </si>
  <si>
    <t>Torres Vanessa</t>
  </si>
  <si>
    <t>Open (15.12.1986)/31</t>
  </si>
  <si>
    <t>59,00</t>
  </si>
  <si>
    <t>102,5</t>
  </si>
  <si>
    <t>Romanovich Natalia</t>
  </si>
  <si>
    <t>Masters 45-49 (26.06.1969)/48</t>
  </si>
  <si>
    <t>59,40</t>
  </si>
  <si>
    <t>Fedorova Tatiana</t>
  </si>
  <si>
    <t>Masters 50-54 (12.02.1965)/52</t>
  </si>
  <si>
    <t>60,00</t>
  </si>
  <si>
    <t>57,5</t>
  </si>
  <si>
    <t>60,0</t>
  </si>
  <si>
    <t>Teen 18-19 (03.03.1998)/19</t>
  </si>
  <si>
    <t>75,0</t>
  </si>
  <si>
    <t>80,0</t>
  </si>
  <si>
    <t>87,5</t>
  </si>
  <si>
    <t>Bies Johanna</t>
  </si>
  <si>
    <t>Open (28.07.1972)/45</t>
  </si>
  <si>
    <t>61,90</t>
  </si>
  <si>
    <t>95,571</t>
  </si>
  <si>
    <t>Maleeva Lyubov</t>
  </si>
  <si>
    <t>Open (25.08.1977)/40</t>
  </si>
  <si>
    <t>66,50</t>
  </si>
  <si>
    <t>Kyrgyzstan</t>
  </si>
  <si>
    <t>Blotskaya Viktoriya</t>
  </si>
  <si>
    <t>Open (14.01.1985)/32</t>
  </si>
  <si>
    <t>67,30</t>
  </si>
  <si>
    <t>70,0</t>
  </si>
  <si>
    <t>Masters 40-44 (25.08.1977)/40</t>
  </si>
  <si>
    <t>Masters 45-49 (28.07.1972)/45</t>
  </si>
  <si>
    <t>106,701</t>
  </si>
  <si>
    <t>Herrmann Nelly</t>
  </si>
  <si>
    <t>Masters 70-74 (15.12.1944)/73</t>
  </si>
  <si>
    <t>65,00</t>
  </si>
  <si>
    <t>67,5</t>
  </si>
  <si>
    <t>55,5</t>
  </si>
  <si>
    <t>Sukhanova Regina</t>
  </si>
  <si>
    <t>Open (30.07.1980)/37</t>
  </si>
  <si>
    <t>73,40</t>
  </si>
  <si>
    <t>Fadeeva Alina</t>
  </si>
  <si>
    <t>Open (09.09.1988)/29</t>
  </si>
  <si>
    <t>73,50</t>
  </si>
  <si>
    <t>117,5</t>
  </si>
  <si>
    <t>Pellikka Krista</t>
  </si>
  <si>
    <t>Open (29.06.1987)/30</t>
  </si>
  <si>
    <t>74,50</t>
  </si>
  <si>
    <t>Croydon Catherine</t>
  </si>
  <si>
    <t>Open (10.03.1991)/26</t>
  </si>
  <si>
    <t>74,90</t>
  </si>
  <si>
    <t>Ireland</t>
  </si>
  <si>
    <t>Platel Sandrine</t>
  </si>
  <si>
    <t>Masters 40-44 (22.07.1974)/43</t>
  </si>
  <si>
    <t>Hilander Maiju</t>
  </si>
  <si>
    <t>Masters 60-64 (22.07.1957)/60</t>
  </si>
  <si>
    <t>71,90</t>
  </si>
  <si>
    <t>73,0</t>
  </si>
  <si>
    <t>Kodzaeva Yana</t>
  </si>
  <si>
    <t>Open (20.06.1993)/24</t>
  </si>
  <si>
    <t>79,30</t>
  </si>
  <si>
    <t>Knuutila Virpi-Sisko</t>
  </si>
  <si>
    <t>Masters 50-54 (11.10.1967)/50</t>
  </si>
  <si>
    <t>81,40</t>
  </si>
  <si>
    <t>120</t>
  </si>
  <si>
    <t>107,544</t>
  </si>
  <si>
    <t>Peledutse Luchian</t>
  </si>
  <si>
    <t>Teen 13-15 (16.08.2004)/13</t>
  </si>
  <si>
    <t>49,60</t>
  </si>
  <si>
    <t>35,0</t>
  </si>
  <si>
    <t>40,0</t>
  </si>
  <si>
    <t>45,0</t>
  </si>
  <si>
    <t>Body Weight Category  56</t>
  </si>
  <si>
    <t>Davalle Richard</t>
  </si>
  <si>
    <t>Open (05.12.1983)/34</t>
  </si>
  <si>
    <t>55,20</t>
  </si>
  <si>
    <t>138,0</t>
  </si>
  <si>
    <t>Camicas Jean-Claude</t>
  </si>
  <si>
    <t>Masters 70-74 (19.03.1943)/74</t>
  </si>
  <si>
    <t>55,10</t>
  </si>
  <si>
    <t>Rusu Daniil</t>
  </si>
  <si>
    <t>Teen 13-15 (03.09.2003)/14</t>
  </si>
  <si>
    <t>62,90</t>
  </si>
  <si>
    <t>50,0</t>
  </si>
  <si>
    <t>Ryzhikh Evgeniy</t>
  </si>
  <si>
    <t>Teen 16-17 (15.05.2000)/17</t>
  </si>
  <si>
    <t>62,00</t>
  </si>
  <si>
    <t>Platel Theo</t>
  </si>
  <si>
    <t>Teen 16-17 (27.07.2000)/17</t>
  </si>
  <si>
    <t>67,10</t>
  </si>
  <si>
    <t>Mouroux Thoma</t>
  </si>
  <si>
    <t>Juniors 20-23 (12.11.1996)/21</t>
  </si>
  <si>
    <t>67,00</t>
  </si>
  <si>
    <t>Raichonok Gint</t>
  </si>
  <si>
    <t>Juniors 20-23 (26.11.1995)/22</t>
  </si>
  <si>
    <t>66,60</t>
  </si>
  <si>
    <t>Martin Jose</t>
  </si>
  <si>
    <t>Masters 55-59 (19.03.1961)/56</t>
  </si>
  <si>
    <t>66,30</t>
  </si>
  <si>
    <t>Rapoport Mikhail</t>
  </si>
  <si>
    <t>Teen 18-19 (07.04.1999)/18</t>
  </si>
  <si>
    <t>74,80</t>
  </si>
  <si>
    <t>Pavlinov Kirill</t>
  </si>
  <si>
    <t>Juniors 20-23 (13.02.1994)/23</t>
  </si>
  <si>
    <t>71,50</t>
  </si>
  <si>
    <t>78,54</t>
  </si>
  <si>
    <t>Rzayev Ramin</t>
  </si>
  <si>
    <t>Open (24.07.1980)/37</t>
  </si>
  <si>
    <t>74,70</t>
  </si>
  <si>
    <t>192,5</t>
  </si>
  <si>
    <t>Sakhbetov Ruslan</t>
  </si>
  <si>
    <t>Open (02.07.1987)/30</t>
  </si>
  <si>
    <t>Kazakhstan</t>
  </si>
  <si>
    <t>Chincharauli Georgi</t>
  </si>
  <si>
    <t>Open (15.04.1991)/26</t>
  </si>
  <si>
    <t>172,5</t>
  </si>
  <si>
    <t>165</t>
  </si>
  <si>
    <t>114,411</t>
  </si>
  <si>
    <t>Kempes Cange</t>
  </si>
  <si>
    <t>Open (15.10.1993)/24</t>
  </si>
  <si>
    <t>Kungurtsev Pavel</t>
  </si>
  <si>
    <t>Masters 40-44 (01.10.1976)/41</t>
  </si>
  <si>
    <t>137,5</t>
  </si>
  <si>
    <t>130</t>
  </si>
  <si>
    <t>95,095</t>
  </si>
  <si>
    <t>Ljadov Sergei</t>
  </si>
  <si>
    <t>Masters 60-64 (02.11.1956)/61</t>
  </si>
  <si>
    <t>Estonia</t>
  </si>
  <si>
    <t>Laishin Boris</t>
  </si>
  <si>
    <t>Masters 65-69 (06.08.1950)/67</t>
  </si>
  <si>
    <t>68,30</t>
  </si>
  <si>
    <t>122,9155</t>
  </si>
  <si>
    <t>Sparberg Arvid</t>
  </si>
  <si>
    <t>Masters 70-74 (18.11.1945)/72</t>
  </si>
  <si>
    <t>70,30</t>
  </si>
  <si>
    <t>Terentyev Kirill</t>
  </si>
  <si>
    <t>Teen 16-17 (29.01.2001)/16</t>
  </si>
  <si>
    <t>80,40</t>
  </si>
  <si>
    <t>Efremenko Sergey</t>
  </si>
  <si>
    <t>Teen 18-19 (28.03.1999)/18</t>
  </si>
  <si>
    <t>81,60</t>
  </si>
  <si>
    <t>185,5</t>
  </si>
  <si>
    <t>177,5</t>
  </si>
  <si>
    <t>Volebob Maksim</t>
  </si>
  <si>
    <t>Juniors 20-23 (14.11.1995)/22</t>
  </si>
  <si>
    <t>80,30</t>
  </si>
  <si>
    <t>107,118</t>
  </si>
  <si>
    <t>Rohm Valentin</t>
  </si>
  <si>
    <t>Juniors 20-23 (17.03.1995)/22</t>
  </si>
  <si>
    <t>79,60</t>
  </si>
  <si>
    <t>92,4</t>
  </si>
  <si>
    <t>Trafimov Andrey</t>
  </si>
  <si>
    <t>Juniors 20-23 (07.01.1995)/22</t>
  </si>
  <si>
    <t>77,00</t>
  </si>
  <si>
    <t>115</t>
  </si>
  <si>
    <t>77,6825</t>
  </si>
  <si>
    <t>Yugay Vladimir</t>
  </si>
  <si>
    <t>Open (10.10.1987)/30</t>
  </si>
  <si>
    <t>Ryabov Artem</t>
  </si>
  <si>
    <t>Open (08.04.1985)/32</t>
  </si>
  <si>
    <t>81,70</t>
  </si>
  <si>
    <t>147,5</t>
  </si>
  <si>
    <t>Tayebi Fazlollah</t>
  </si>
  <si>
    <t>Masters 45-49 (23.05.1969)/48</t>
  </si>
  <si>
    <t>Klatik Sergey</t>
  </si>
  <si>
    <t>Masters 60-64 (12.09.1955)/62</t>
  </si>
  <si>
    <t>80,70</t>
  </si>
  <si>
    <t>152,5</t>
  </si>
  <si>
    <t>Kabanchenko Anatoliy</t>
  </si>
  <si>
    <t>Masters 60-64 (10.11.1953)/64</t>
  </si>
  <si>
    <t>79,80</t>
  </si>
  <si>
    <t>Lambert Francois</t>
  </si>
  <si>
    <t>Masters 70-74 (17.12.1946)/71</t>
  </si>
  <si>
    <t>98,235</t>
  </si>
  <si>
    <t>Sannikov Vladislav</t>
  </si>
  <si>
    <t>Masters 75-79 (29.10.1938)/79</t>
  </si>
  <si>
    <t>77,30</t>
  </si>
  <si>
    <t>Faizov Nail</t>
  </si>
  <si>
    <t>Masters 75-79 (19.06.1941)/76</t>
  </si>
  <si>
    <t>76,90</t>
  </si>
  <si>
    <t>65,0</t>
  </si>
  <si>
    <t>75,10</t>
  </si>
  <si>
    <t>92,5</t>
  </si>
  <si>
    <t>Molotievskiy Pavel</t>
  </si>
  <si>
    <t>Teen 18-19 (17.06.1998)/19</t>
  </si>
  <si>
    <t>Timchenko Sergey</t>
  </si>
  <si>
    <t>Open (23.12.1979)/38</t>
  </si>
  <si>
    <t>87,20</t>
  </si>
  <si>
    <t>210</t>
  </si>
  <si>
    <t>130,032</t>
  </si>
  <si>
    <t>Balandin Sergey</t>
  </si>
  <si>
    <t>Open (14.12.1984)/33</t>
  </si>
  <si>
    <t>88,40</t>
  </si>
  <si>
    <t>197,5</t>
  </si>
  <si>
    <t>Karpov Roman</t>
  </si>
  <si>
    <t>Open (26.10.1979)/38</t>
  </si>
  <si>
    <t>84,90</t>
  </si>
  <si>
    <t>Kasaraev Sergey</t>
  </si>
  <si>
    <t>Open (18.02.1974)/43</t>
  </si>
  <si>
    <t>86,30</t>
  </si>
  <si>
    <t>Bulakhov Evgeniy</t>
  </si>
  <si>
    <t>Open (07.06.1985)/32</t>
  </si>
  <si>
    <t>85,90</t>
  </si>
  <si>
    <t>Askarov Seymur</t>
  </si>
  <si>
    <t>Open (20.11.1984)/33</t>
  </si>
  <si>
    <t>88,50</t>
  </si>
  <si>
    <t>Pour Ahmadi</t>
  </si>
  <si>
    <t>Open (11.03.1987)/30</t>
  </si>
  <si>
    <t>Spires Kent</t>
  </si>
  <si>
    <t>Open (05.05.1970)/47</t>
  </si>
  <si>
    <t>89,60</t>
  </si>
  <si>
    <t>Masters 40-44 (18.02.1974)/43</t>
  </si>
  <si>
    <t>Bartenev Arleksey</t>
  </si>
  <si>
    <t>Masters 40-44 (01.03.1975)/42</t>
  </si>
  <si>
    <t>200</t>
  </si>
  <si>
    <t>128,4</t>
  </si>
  <si>
    <t>Masters 45-49 (05.05.1970)/47</t>
  </si>
  <si>
    <t>233,5</t>
  </si>
  <si>
    <t>Savelyev Eduard</t>
  </si>
  <si>
    <t>Masters 45-49 (12.03.1971)/46</t>
  </si>
  <si>
    <t>87,30</t>
  </si>
  <si>
    <t>Gibson David</t>
  </si>
  <si>
    <t>Masters 50-54 (02.11.1966)/51</t>
  </si>
  <si>
    <t>Akhmedov Asaf</t>
  </si>
  <si>
    <t>Masters 50-54 (23.07.1965)/52</t>
  </si>
  <si>
    <t>83,60</t>
  </si>
  <si>
    <t>96,811</t>
  </si>
  <si>
    <t>Bazanov Sergey</t>
  </si>
  <si>
    <t>Masters 55-59 (22.06.1962)/55</t>
  </si>
  <si>
    <t>86,80</t>
  </si>
  <si>
    <t>Khudoleev Evgeniy</t>
  </si>
  <si>
    <t>Masters 70-74 (10.09.1946)/71</t>
  </si>
  <si>
    <t>84,70</t>
  </si>
  <si>
    <t>Cherkasov Egor</t>
  </si>
  <si>
    <t>Teen 18-19 (04.06.1998)/19</t>
  </si>
  <si>
    <t>91,30</t>
  </si>
  <si>
    <t>Virtanen Jani</t>
  </si>
  <si>
    <t>Juniors 20-23 (30.05.1995)/22</t>
  </si>
  <si>
    <t>96,90</t>
  </si>
  <si>
    <t>Lobov Ivan</t>
  </si>
  <si>
    <t>Open (20.05.1985)/32</t>
  </si>
  <si>
    <t>99,60</t>
  </si>
  <si>
    <t>Gurbanov Farid</t>
  </si>
  <si>
    <t>Open (22.08.1988)/29</t>
  </si>
  <si>
    <t>97,80</t>
  </si>
  <si>
    <t>Tsutskiridze Nodar</t>
  </si>
  <si>
    <t>Masters 40-44 (14.09.1976)/41</t>
  </si>
  <si>
    <t>97,50</t>
  </si>
  <si>
    <t>Pennington David</t>
  </si>
  <si>
    <t>Masters 50-54 (01.10.1966)/51</t>
  </si>
  <si>
    <t>99,90</t>
  </si>
  <si>
    <t>Zheenaliev Sergek</t>
  </si>
  <si>
    <t>Masters 50-54 (22.04.1964)/53</t>
  </si>
  <si>
    <t>97,00</t>
  </si>
  <si>
    <t>Egorov Mikhail</t>
  </si>
  <si>
    <t>Masters 50-54 (27.09.1967)/50</t>
  </si>
  <si>
    <t>91,90</t>
  </si>
  <si>
    <t>Abayev Aslambek</t>
  </si>
  <si>
    <t>Masters 55-59 (28.06.1959)/58</t>
  </si>
  <si>
    <t>96,10</t>
  </si>
  <si>
    <t>Matvejev Valeri</t>
  </si>
  <si>
    <t>Masters 55-59 (12.06.1960)/57</t>
  </si>
  <si>
    <t>93,10</t>
  </si>
  <si>
    <t>142,5</t>
  </si>
  <si>
    <t>Balabatko Igor</t>
  </si>
  <si>
    <t>Masters 55-59 (19.12.1960)/57</t>
  </si>
  <si>
    <t>92,60</t>
  </si>
  <si>
    <t>Ahmad Peykraftar</t>
  </si>
  <si>
    <t>Juniors 20-23 (26.06.1994)/23</t>
  </si>
  <si>
    <t>100,60</t>
  </si>
  <si>
    <t>175</t>
  </si>
  <si>
    <t>101,4825</t>
  </si>
  <si>
    <t>Colta Nicolae</t>
  </si>
  <si>
    <t>Juniors 20-23 (27.11.1995)/22</t>
  </si>
  <si>
    <t>102,00</t>
  </si>
  <si>
    <t>Moldova</t>
  </si>
  <si>
    <t>Boss Daniel</t>
  </si>
  <si>
    <t>Open (10.10.1982)/35</t>
  </si>
  <si>
    <t>Terentyev Igor</t>
  </si>
  <si>
    <t>Open (27.10.1979)/38</t>
  </si>
  <si>
    <t>103,60</t>
  </si>
  <si>
    <t>207,5</t>
  </si>
  <si>
    <t>Belov Anton</t>
  </si>
  <si>
    <t>Open (24.03.1985)/32</t>
  </si>
  <si>
    <t>106,60</t>
  </si>
  <si>
    <t>Abdulayev Bakhtiyar</t>
  </si>
  <si>
    <t>Open (24.07.1981)/36</t>
  </si>
  <si>
    <t>202,5</t>
  </si>
  <si>
    <t>Sukhov Dmitriy</t>
  </si>
  <si>
    <t>Open (09.06.1975)/42</t>
  </si>
  <si>
    <t>Kiryanov Aleksandr</t>
  </si>
  <si>
    <t>Masters 40-44 (15.04.1975)/42</t>
  </si>
  <si>
    <t>Kotov Alexey</t>
  </si>
  <si>
    <t>Masters 40-44 (04.01.1974)/43</t>
  </si>
  <si>
    <t>105,80</t>
  </si>
  <si>
    <t>Aleksandrov Evgeniy</t>
  </si>
  <si>
    <t>Masters 40-44 (28.12.1974)/43</t>
  </si>
  <si>
    <t>107,30</t>
  </si>
  <si>
    <t>Masters 40-44 (09.06.1975)/42</t>
  </si>
  <si>
    <t>Valiollah Moosavi</t>
  </si>
  <si>
    <t>Masters 40-44 (23.09.1973)/44</t>
  </si>
  <si>
    <t>182,5</t>
  </si>
  <si>
    <t>Richard Spiroff</t>
  </si>
  <si>
    <t>Masters 45-49 (22.05.1969)/48</t>
  </si>
  <si>
    <t>106,90</t>
  </si>
  <si>
    <t>Nosov Dmitriy</t>
  </si>
  <si>
    <t>Masters 45-49 (14.03.1971)/46</t>
  </si>
  <si>
    <t>103,70</t>
  </si>
  <si>
    <t>Beleckii Evgeniy</t>
  </si>
  <si>
    <t>Masters 50-54 (02.05.1964)/53</t>
  </si>
  <si>
    <t>103,50</t>
  </si>
  <si>
    <t>215,5</t>
  </si>
  <si>
    <t>Dyakonov Sergey</t>
  </si>
  <si>
    <t>Masters 60-64 (08.07.1957)/60</t>
  </si>
  <si>
    <t>154,04</t>
  </si>
  <si>
    <t>Karpov Aleksandr</t>
  </si>
  <si>
    <t>Open (01.07.1982)/35</t>
  </si>
  <si>
    <t>120,10</t>
  </si>
  <si>
    <t>Pronin Vadim</t>
  </si>
  <si>
    <t>Open (10.09.1979)/38</t>
  </si>
  <si>
    <t>217,5</t>
  </si>
  <si>
    <t>Klimov Victor</t>
  </si>
  <si>
    <t>Masters 40-44 (10.03.1975)/42</t>
  </si>
  <si>
    <t>117,60</t>
  </si>
  <si>
    <t>Navarko Andrey</t>
  </si>
  <si>
    <t>Masters 40-44 (06.06.1975)/42</t>
  </si>
  <si>
    <t>120,30</t>
  </si>
  <si>
    <t>Seppanen Timo</t>
  </si>
  <si>
    <t>Masters 40-44 (25.11.1975)/42</t>
  </si>
  <si>
    <t>112,00</t>
  </si>
  <si>
    <t>Veretennikov Anatoliy</t>
  </si>
  <si>
    <t>Masters 40-44 (14.07.1976)/41</t>
  </si>
  <si>
    <t>123,30</t>
  </si>
  <si>
    <t>195</t>
  </si>
  <si>
    <t>107,8155</t>
  </si>
  <si>
    <t>Kaekhtin Andrey</t>
  </si>
  <si>
    <t>Masters 45-49 (04.12.1968)/49</t>
  </si>
  <si>
    <t>120,20</t>
  </si>
  <si>
    <t>Berman Yakov</t>
  </si>
  <si>
    <t>Masters 45-49 (22.06.1972)/45</t>
  </si>
  <si>
    <t>118,70</t>
  </si>
  <si>
    <t>Aladishev Sergey</t>
  </si>
  <si>
    <t>Masters 45-49 (08.05.1971)/46</t>
  </si>
  <si>
    <t>124,90</t>
  </si>
  <si>
    <t>Dorozhenko Dmitriy</t>
  </si>
  <si>
    <t>Masters 45-49 (14.04.1972)/45</t>
  </si>
  <si>
    <t>110,30</t>
  </si>
  <si>
    <t>Tikhonov Oleg</t>
  </si>
  <si>
    <t>Masters 45-49 (21.08.1969)/48</t>
  </si>
  <si>
    <t>112,10</t>
  </si>
  <si>
    <t>Chernyshenko Vasiliy</t>
  </si>
  <si>
    <t>Masters 50-54 (25.05.1963)/54</t>
  </si>
  <si>
    <t>116,90</t>
  </si>
  <si>
    <t>Nikolaev Mikhail</t>
  </si>
  <si>
    <t>Masters 55-59 (27.05.1961)/56</t>
  </si>
  <si>
    <t>125,00</t>
  </si>
  <si>
    <t>135,92</t>
  </si>
  <si>
    <t>Suzstay Erik</t>
  </si>
  <si>
    <t>Open (28.06.1972)/45</t>
  </si>
  <si>
    <t>132,60</t>
  </si>
  <si>
    <t>Salonen Sami</t>
  </si>
  <si>
    <t>Open (26.07.1969)/48</t>
  </si>
  <si>
    <t>137,80</t>
  </si>
  <si>
    <t>Rudenko Maksim</t>
  </si>
  <si>
    <t>Open (08.11.1981)/36</t>
  </si>
  <si>
    <t>129,70</t>
  </si>
  <si>
    <t>Nuruev Ramig</t>
  </si>
  <si>
    <t>Open (03.11.1984)/33</t>
  </si>
  <si>
    <t>133,10</t>
  </si>
  <si>
    <t>220</t>
  </si>
  <si>
    <t>118,184</t>
  </si>
  <si>
    <t>Dedyulya Valentin</t>
  </si>
  <si>
    <t>Ostanin Vasiliy</t>
  </si>
  <si>
    <t>Masters 40-44 (18.05.1974)/43</t>
  </si>
  <si>
    <t>127,50</t>
  </si>
  <si>
    <t>Masters 45-49 (28.06.1972)/45</t>
  </si>
  <si>
    <t>Masters 45-49 (26.07.1969)/48</t>
  </si>
  <si>
    <t>Savich Rade</t>
  </si>
  <si>
    <t>Open (27.04.1984)/33</t>
  </si>
  <si>
    <t>151,90</t>
  </si>
  <si>
    <t>Serbia</t>
  </si>
  <si>
    <t>Barashev Oleg</t>
  </si>
  <si>
    <t>Masters 40-44 (30.10.1975)/42</t>
  </si>
  <si>
    <t>143,60</t>
  </si>
  <si>
    <t>150</t>
  </si>
  <si>
    <t>99,315</t>
  </si>
  <si>
    <t>73,8600</t>
  </si>
  <si>
    <t>114,5272</t>
  </si>
  <si>
    <t>100,1000</t>
  </si>
  <si>
    <t>99,5871</t>
  </si>
  <si>
    <t>93,2955</t>
  </si>
  <si>
    <t>92,3890</t>
  </si>
  <si>
    <t>86,7613</t>
  </si>
  <si>
    <t>85,7771</t>
  </si>
  <si>
    <t>84,6562</t>
  </si>
  <si>
    <t>78,9031</t>
  </si>
  <si>
    <t>109,9812</t>
  </si>
  <si>
    <t>106,4869</t>
  </si>
  <si>
    <t>Masters 70-74</t>
  </si>
  <si>
    <t>87,5592</t>
  </si>
  <si>
    <t>83,5830</t>
  </si>
  <si>
    <t>77,6513</t>
  </si>
  <si>
    <t>66,1569</t>
  </si>
  <si>
    <t>120,1112</t>
  </si>
  <si>
    <t>96,5860</t>
  </si>
  <si>
    <t>82,6537</t>
  </si>
  <si>
    <t>Teen 16-17</t>
  </si>
  <si>
    <t>76,6888</t>
  </si>
  <si>
    <t>70,4824</t>
  </si>
  <si>
    <t>63,9370</t>
  </si>
  <si>
    <t>Teen 13-15</t>
  </si>
  <si>
    <t>43,8102</t>
  </si>
  <si>
    <t>40,7660</t>
  </si>
  <si>
    <t>113,8900</t>
  </si>
  <si>
    <t>111,9860</t>
  </si>
  <si>
    <t>100,9225</t>
  </si>
  <si>
    <t>90,3780</t>
  </si>
  <si>
    <t>83,4975</t>
  </si>
  <si>
    <t>136,3425</t>
  </si>
  <si>
    <t>132,5483</t>
  </si>
  <si>
    <t>130,8300</t>
  </si>
  <si>
    <t>129,5618</t>
  </si>
  <si>
    <t>127,7610</t>
  </si>
  <si>
    <t>127,0237</t>
  </si>
  <si>
    <t>122,5641</t>
  </si>
  <si>
    <t>122,0747</t>
  </si>
  <si>
    <t>121,8369</t>
  </si>
  <si>
    <t>121,0496</t>
  </si>
  <si>
    <t>120,9960</t>
  </si>
  <si>
    <t>120,6575</t>
  </si>
  <si>
    <t>120,2890</t>
  </si>
  <si>
    <t>119,1015</t>
  </si>
  <si>
    <t>118,7550</t>
  </si>
  <si>
    <t>56</t>
  </si>
  <si>
    <t>117,7865</t>
  </si>
  <si>
    <t>116,5600</t>
  </si>
  <si>
    <t>116,2910</t>
  </si>
  <si>
    <t>114,2745</t>
  </si>
  <si>
    <t>113,6200</t>
  </si>
  <si>
    <t>112,9879</t>
  </si>
  <si>
    <t>110,1680</t>
  </si>
  <si>
    <t>107,9487</t>
  </si>
  <si>
    <t>160,4022</t>
  </si>
  <si>
    <t>154,4914</t>
  </si>
  <si>
    <t>154,2974</t>
  </si>
  <si>
    <t>142,9340</t>
  </si>
  <si>
    <t>141,5796</t>
  </si>
  <si>
    <t>139,8384</t>
  </si>
  <si>
    <t>139,7399</t>
  </si>
  <si>
    <t>138,9118</t>
  </si>
  <si>
    <t>134,3757</t>
  </si>
  <si>
    <t>133,9093</t>
  </si>
  <si>
    <t>Masters 80up</t>
  </si>
  <si>
    <t>130,4336</t>
  </si>
  <si>
    <t>128,0003</t>
  </si>
  <si>
    <t>127,8399</t>
  </si>
  <si>
    <t>127,6508</t>
  </si>
  <si>
    <t>126,8763</t>
  </si>
  <si>
    <t>126,1717</t>
  </si>
  <si>
    <t>123,6016</t>
  </si>
  <si>
    <t>122,7936</t>
  </si>
  <si>
    <t>122,2126</t>
  </si>
  <si>
    <t>121,9429</t>
  </si>
  <si>
    <t>120,9054</t>
  </si>
  <si>
    <t>120,1734</t>
  </si>
  <si>
    <t>120,0668</t>
  </si>
  <si>
    <t>118,4197</t>
  </si>
  <si>
    <t>World Champions Cup AWPC raw benchpress
Dolgoprudniy, Russia 03-05 November 2017</t>
  </si>
  <si>
    <t>Willis Richard</t>
  </si>
  <si>
    <t>Masters 45-49 (18.03.1969)/48</t>
  </si>
  <si>
    <t>50,60</t>
  </si>
  <si>
    <t>Miroshnikov Artemiy</t>
  </si>
  <si>
    <t>Open (05.11.1981)/36</t>
  </si>
  <si>
    <t>56,10</t>
  </si>
  <si>
    <t>Open (02.11.1966)/51</t>
  </si>
  <si>
    <t>Toksharov Aysa</t>
  </si>
  <si>
    <t>Open (08.08.1980)/37</t>
  </si>
  <si>
    <t>93,3822</t>
  </si>
  <si>
    <t>82,8022</t>
  </si>
  <si>
    <t>80,1855</t>
  </si>
  <si>
    <t>106,5671</t>
  </si>
  <si>
    <t>World Championship WPC raw deadlift
Dolgoprudniy, Russia 03-05 November 2017</t>
  </si>
  <si>
    <t>Deadlift</t>
  </si>
  <si>
    <t>Fox Yvette</t>
  </si>
  <si>
    <t>Masters 55-59 (03.10.1958)/59</t>
  </si>
  <si>
    <t>55,80</t>
  </si>
  <si>
    <t>Chusovskaya Elizaveta</t>
  </si>
  <si>
    <t>Teen 18-19 (29.08.1998)/19</t>
  </si>
  <si>
    <t>60,80</t>
  </si>
  <si>
    <t>Papikyan Siranush</t>
  </si>
  <si>
    <t>Juniors 20-23 (02.04.1994)/23</t>
  </si>
  <si>
    <t>63,40</t>
  </si>
  <si>
    <t>155,9415</t>
  </si>
  <si>
    <t>Pyrsina Yulia</t>
  </si>
  <si>
    <t>Open (09.05.1985)/32</t>
  </si>
  <si>
    <t>65,50</t>
  </si>
  <si>
    <t>Open (11.10.1967)/50</t>
  </si>
  <si>
    <t>Gadolin Natalia</t>
  </si>
  <si>
    <t>Juniors 20-23 (04.01.1994)/23</t>
  </si>
  <si>
    <t>Sirdani Abolfazl</t>
  </si>
  <si>
    <t>Open (17.06.1987)/30</t>
  </si>
  <si>
    <t>66,90</t>
  </si>
  <si>
    <t>Garipov Danila</t>
  </si>
  <si>
    <t>Teen 13-15 (26.06.2005)/12</t>
  </si>
  <si>
    <t>73,80</t>
  </si>
  <si>
    <t>Shvylev Aleksandr</t>
  </si>
  <si>
    <t>Open (31.08.1992)/25</t>
  </si>
  <si>
    <t>242,5</t>
  </si>
  <si>
    <t>Kucheryavyh Petr</t>
  </si>
  <si>
    <t>Open (19.10.1988)/29</t>
  </si>
  <si>
    <t>Pavlushin Oleg</t>
  </si>
  <si>
    <t>Masters 40-44 (07.03.1974)/43</t>
  </si>
  <si>
    <t>72,50</t>
  </si>
  <si>
    <t>Sejfo Shekhovich</t>
  </si>
  <si>
    <t>Masters 55-59 (13.08.1959)/58</t>
  </si>
  <si>
    <t>70,90</t>
  </si>
  <si>
    <t>Sarajevo</t>
  </si>
  <si>
    <t>Dolmatov Boris</t>
  </si>
  <si>
    <t>Masters 70-74 (04.08.1945)/72</t>
  </si>
  <si>
    <t>68,90</t>
  </si>
  <si>
    <t>167,5</t>
  </si>
  <si>
    <t>Guliyev Parvin</t>
  </si>
  <si>
    <t>Open (14.03.1989)/28</t>
  </si>
  <si>
    <t>Ahmadov Roman</t>
  </si>
  <si>
    <t>Open (13.02.1985)/32</t>
  </si>
  <si>
    <t>82,50</t>
  </si>
  <si>
    <t>Simon Csaba</t>
  </si>
  <si>
    <t>Masters 45-49 (15.03.1968)/49</t>
  </si>
  <si>
    <t>81,80</t>
  </si>
  <si>
    <t>Hungary</t>
  </si>
  <si>
    <t>Sichko Danila</t>
  </si>
  <si>
    <t>Teen 18-19 (05.04.1999)/18</t>
  </si>
  <si>
    <t>86,60</t>
  </si>
  <si>
    <t>190</t>
  </si>
  <si>
    <t>118,845</t>
  </si>
  <si>
    <t>Raevskiy Maksim</t>
  </si>
  <si>
    <t>Juniors 20-23 (06.03.1995)/22</t>
  </si>
  <si>
    <t>Dursunov Kiamil</t>
  </si>
  <si>
    <t>Open (23.05.1990)/27</t>
  </si>
  <si>
    <t>Domanskiy Alexandr</t>
  </si>
  <si>
    <t>Open (21.11.1985)/32</t>
  </si>
  <si>
    <t>88,20</t>
  </si>
  <si>
    <t>Poryadin Valeriy</t>
  </si>
  <si>
    <t>Masters 50-54 (20.05.1966)/51</t>
  </si>
  <si>
    <t>89,00</t>
  </si>
  <si>
    <t>Mirulloev Samim</t>
  </si>
  <si>
    <t>Juniors 20-23 (21.08.1995)/22</t>
  </si>
  <si>
    <t>99,80</t>
  </si>
  <si>
    <t>Tajikistan</t>
  </si>
  <si>
    <t>Gusto Jordan</t>
  </si>
  <si>
    <t>Open (02.09.1992)/25</t>
  </si>
  <si>
    <t>97,70</t>
  </si>
  <si>
    <t>Ho-Bing-Huang Gregoire</t>
  </si>
  <si>
    <t>Open (09.08.1982)/35</t>
  </si>
  <si>
    <t>95,00</t>
  </si>
  <si>
    <t>332,5</t>
  </si>
  <si>
    <t>320</t>
  </si>
  <si>
    <t>190,368</t>
  </si>
  <si>
    <t>Belimov Aleksandr</t>
  </si>
  <si>
    <t>Open (27.12.1988)/29</t>
  </si>
  <si>
    <t>Altunin Oleg</t>
  </si>
  <si>
    <t>Open (21.10.1987)/30</t>
  </si>
  <si>
    <t>94,70</t>
  </si>
  <si>
    <t>257,5</t>
  </si>
  <si>
    <t>Zolotuev Petr</t>
  </si>
  <si>
    <t>Open (01.08.1992)/25</t>
  </si>
  <si>
    <t>95,50</t>
  </si>
  <si>
    <t>Bashiri Rahmatollah</t>
  </si>
  <si>
    <t>Open (21.01.1980)/37</t>
  </si>
  <si>
    <t>96,70</t>
  </si>
  <si>
    <t>Zaytsev Vadim</t>
  </si>
  <si>
    <t>Masters 55-59 (26.08.1960)/57</t>
  </si>
  <si>
    <t>91,10</t>
  </si>
  <si>
    <t>250</t>
  </si>
  <si>
    <t>192,7</t>
  </si>
  <si>
    <t>Battakhov Petr</t>
  </si>
  <si>
    <t>Masters 65-69 (21.04.1952)/65</t>
  </si>
  <si>
    <t>131,34</t>
  </si>
  <si>
    <t>Kamyar Fahim</t>
  </si>
  <si>
    <t>Teen 16-17 (30.12.1999)/18</t>
  </si>
  <si>
    <t>297,5</t>
  </si>
  <si>
    <t>Frederic Gerard</t>
  </si>
  <si>
    <t>Open (08.01.1982)/35</t>
  </si>
  <si>
    <t>108,70</t>
  </si>
  <si>
    <t>Cetout Nael</t>
  </si>
  <si>
    <t>Open (12.03.1990)/27</t>
  </si>
  <si>
    <t>106,70</t>
  </si>
  <si>
    <t>Koptev Mikhail</t>
  </si>
  <si>
    <t>Open (17.06.1991)/26</t>
  </si>
  <si>
    <t>270</t>
  </si>
  <si>
    <t>153,117</t>
  </si>
  <si>
    <t>Mily Marian</t>
  </si>
  <si>
    <t>Masters 40-44 (16.05.1973)/44</t>
  </si>
  <si>
    <t>105,00</t>
  </si>
  <si>
    <t>107,136</t>
  </si>
  <si>
    <t>Korkea Ahti</t>
  </si>
  <si>
    <t>Masters 45-49 (17.10.1969)/48</t>
  </si>
  <si>
    <t>100,90</t>
  </si>
  <si>
    <t>Kamenev Oleg</t>
  </si>
  <si>
    <t>Masters 60-64 (16.12.1953)/64</t>
  </si>
  <si>
    <t>102,40</t>
  </si>
  <si>
    <t>160</t>
  </si>
  <si>
    <t>130,928</t>
  </si>
  <si>
    <t>137,527</t>
  </si>
  <si>
    <t>Horchichiak Jacub</t>
  </si>
  <si>
    <t>Teen 18-19 (25.09.1998)/19</t>
  </si>
  <si>
    <t>123,00</t>
  </si>
  <si>
    <t>Iskandarov Khayal</t>
  </si>
  <si>
    <t>Juniors 20-23 (12.04.1995)/22</t>
  </si>
  <si>
    <t>118,60</t>
  </si>
  <si>
    <t>Leon Jean-Luc</t>
  </si>
  <si>
    <t>Open (14.02.1989)/28</t>
  </si>
  <si>
    <t>118,30</t>
  </si>
  <si>
    <t>Open (10.03.1975)/42</t>
  </si>
  <si>
    <t>Berthet David</t>
  </si>
  <si>
    <t>Open (29.08.1979)/38</t>
  </si>
  <si>
    <t>121,80</t>
  </si>
  <si>
    <t>Guliyev Bakhtiyar</t>
  </si>
  <si>
    <t>Masters 40-44 (17.12.1975)/42</t>
  </si>
  <si>
    <t>117,80</t>
  </si>
  <si>
    <t>360,5</t>
  </si>
  <si>
    <t>Bezborodov Valeriy</t>
  </si>
  <si>
    <t>Masters 40-44 (27.01.1976)/41</t>
  </si>
  <si>
    <t>115,70</t>
  </si>
  <si>
    <t>282,5</t>
  </si>
  <si>
    <t>Ivanov Aleksandr</t>
  </si>
  <si>
    <t>Masters 45-49 (27.03.1968)/49</t>
  </si>
  <si>
    <t>122,50</t>
  </si>
  <si>
    <t>Kasyanenko Vitaliy</t>
  </si>
  <si>
    <t>Masters 45-49 (14.08.1971)/46</t>
  </si>
  <si>
    <t>Isakov Aleksey</t>
  </si>
  <si>
    <t>Masters 50-54 (06.08.1963)/54</t>
  </si>
  <si>
    <t>Shishkin Andrey</t>
  </si>
  <si>
    <t>Masters 55-59 (02.09.1962)/55</t>
  </si>
  <si>
    <t>113,20</t>
  </si>
  <si>
    <t>Jalali Mirjavad</t>
  </si>
  <si>
    <t>Teen 18-19 (31.07.1998)/19</t>
  </si>
  <si>
    <t>132,40</t>
  </si>
  <si>
    <t>Muskov Hristo</t>
  </si>
  <si>
    <t>Open (24.12.1985)/32</t>
  </si>
  <si>
    <t>125,60</t>
  </si>
  <si>
    <t>Bulgaria</t>
  </si>
  <si>
    <t>Hondadakeri Raghavendra</t>
  </si>
  <si>
    <t>Open (30.12.1980)/37</t>
  </si>
  <si>
    <t>128,70</t>
  </si>
  <si>
    <t>India</t>
  </si>
  <si>
    <t>134,304</t>
  </si>
  <si>
    <t>Jalali Nemat</t>
  </si>
  <si>
    <t>Open (11.09.1985)/32</t>
  </si>
  <si>
    <t>150,70</t>
  </si>
  <si>
    <t>406,0</t>
  </si>
  <si>
    <t>136,8010</t>
  </si>
  <si>
    <t xml:space="preserve">    Papikyan Siranush</t>
  </si>
  <si>
    <t>131,2850</t>
  </si>
  <si>
    <t>170,5165</t>
  </si>
  <si>
    <t>138,1650</t>
  </si>
  <si>
    <t>192,6836</t>
  </si>
  <si>
    <t>184,4590</t>
  </si>
  <si>
    <t>151,4341</t>
  </si>
  <si>
    <t>148,8317</t>
  </si>
  <si>
    <t>167,3884</t>
  </si>
  <si>
    <t>156,0142</t>
  </si>
  <si>
    <t>147,4460</t>
  </si>
  <si>
    <t>142,4150</t>
  </si>
  <si>
    <t>120,3520</t>
  </si>
  <si>
    <t>80,1378</t>
  </si>
  <si>
    <t>165,7200</t>
  </si>
  <si>
    <t>137,0600</t>
  </si>
  <si>
    <t>133,8140</t>
  </si>
  <si>
    <t>191,8960</t>
  </si>
  <si>
    <t>190,8237</t>
  </si>
  <si>
    <t>182,9188</t>
  </si>
  <si>
    <t>182,5113</t>
  </si>
  <si>
    <t>178,2457</t>
  </si>
  <si>
    <t>175,5802</t>
  </si>
  <si>
    <t>170,6280</t>
  </si>
  <si>
    <t>170,6040</t>
  </si>
  <si>
    <t>168,9861</t>
  </si>
  <si>
    <t>167,4035</t>
  </si>
  <si>
    <t>165,4185</t>
  </si>
  <si>
    <t>164,6185</t>
  </si>
  <si>
    <t>159,1850</t>
  </si>
  <si>
    <t>156,9510</t>
  </si>
  <si>
    <t>153,7340</t>
  </si>
  <si>
    <t>148,9625</t>
  </si>
  <si>
    <t>148,3625</t>
  </si>
  <si>
    <t>145,0350</t>
  </si>
  <si>
    <t>140,7884</t>
  </si>
  <si>
    <t>140,5560</t>
  </si>
  <si>
    <t>135,7470</t>
  </si>
  <si>
    <t>211,7087</t>
  </si>
  <si>
    <t>208,8080</t>
  </si>
  <si>
    <t>191,8357</t>
  </si>
  <si>
    <t>187,5761</t>
  </si>
  <si>
    <t>187,1921</t>
  </si>
  <si>
    <t>170,7516</t>
  </si>
  <si>
    <t>167,5598</t>
  </si>
  <si>
    <t>165,7988</t>
  </si>
  <si>
    <t>163,9508</t>
  </si>
  <si>
    <t>160,0425</t>
  </si>
  <si>
    <t>158,8968</t>
  </si>
  <si>
    <t>158,4838</t>
  </si>
  <si>
    <t>155,6158</t>
  </si>
  <si>
    <t>149,3020</t>
  </si>
  <si>
    <t>123,8107</t>
  </si>
  <si>
    <t>World Championship WPC single-ply deadlift
Dolgoprudniy, Russia 03-05 November 2017</t>
  </si>
  <si>
    <t>275,5</t>
  </si>
  <si>
    <t>141,1425</t>
  </si>
  <si>
    <t>Manuilov Nikita</t>
  </si>
  <si>
    <t>Open (24.04.1993)/24</t>
  </si>
  <si>
    <t>74,00</t>
  </si>
  <si>
    <t>104,3775</t>
  </si>
  <si>
    <t>Batbold Otgonbaatar</t>
  </si>
  <si>
    <t>Juniors 20-23 (04.04.1996)/21</t>
  </si>
  <si>
    <t>82,20</t>
  </si>
  <si>
    <t>127,5</t>
  </si>
  <si>
    <t>Aghaev Elshan</t>
  </si>
  <si>
    <t>Open (18.07.1983)/34</t>
  </si>
  <si>
    <t>Open (20.05.1966)/51</t>
  </si>
  <si>
    <t>Matveev Alexandr</t>
  </si>
  <si>
    <t>Masters 40-44 (27.10.1974)/43</t>
  </si>
  <si>
    <t>Agaev Rufat</t>
  </si>
  <si>
    <t>Masters 40-44 (16.08.1975)/42</t>
  </si>
  <si>
    <t>90,00</t>
  </si>
  <si>
    <t>Rostovtsev Mikhail</t>
  </si>
  <si>
    <t>Masters 55-59 (28.05.1958)/59</t>
  </si>
  <si>
    <t>Eck Erno</t>
  </si>
  <si>
    <t>Juniors 20-23 (25.03.1994)/23</t>
  </si>
  <si>
    <t>96,80</t>
  </si>
  <si>
    <t>Luchnikov Ilya</t>
  </si>
  <si>
    <t>Open (11.03.1974)/43</t>
  </si>
  <si>
    <t>Yuriev Dmitriy</t>
  </si>
  <si>
    <t>Open (24.01.1992)/25</t>
  </si>
  <si>
    <t>Masters 40-44 (11.03.1974)/43</t>
  </si>
  <si>
    <t>Rezai Mostafa</t>
  </si>
  <si>
    <t>Open (23.08.1984)/33</t>
  </si>
  <si>
    <t>117,10</t>
  </si>
  <si>
    <t>Pivovarov Oleg</t>
  </si>
  <si>
    <t>Masters 50-54 (18.03.1963)/54</t>
  </si>
  <si>
    <t>111,00</t>
  </si>
  <si>
    <t>247,5</t>
  </si>
  <si>
    <t>Maheripourehir Peiman</t>
  </si>
  <si>
    <t>Open (10.05.1987)/30</t>
  </si>
  <si>
    <t>144,60</t>
  </si>
  <si>
    <t>385,0</t>
  </si>
  <si>
    <t>400,0</t>
  </si>
  <si>
    <t>405,0</t>
  </si>
  <si>
    <t>410,0</t>
  </si>
  <si>
    <t>135,6195</t>
  </si>
  <si>
    <t>213,5727</t>
  </si>
  <si>
    <t>186,1365</t>
  </si>
  <si>
    <t>182,4657</t>
  </si>
  <si>
    <t>177,2640</t>
  </si>
  <si>
    <t>172,0050</t>
  </si>
  <si>
    <t>162,3390</t>
  </si>
  <si>
    <t>141,6110</t>
  </si>
  <si>
    <t>133,0527</t>
  </si>
  <si>
    <t>83,9750</t>
  </si>
  <si>
    <t>191,9067</t>
  </si>
  <si>
    <t>189,0770</t>
  </si>
  <si>
    <t>180,3612</t>
  </si>
  <si>
    <t>167,2022</t>
  </si>
  <si>
    <t>167,1249</t>
  </si>
  <si>
    <t>162,4278</t>
  </si>
  <si>
    <t>162,0802</t>
  </si>
  <si>
    <t>156,2981</t>
  </si>
  <si>
    <t>129,0273</t>
  </si>
  <si>
    <t>World Championship WPC multy-ply deadlift
Dolgoprudniy, Russia 03-05 November 2017</t>
  </si>
  <si>
    <t>Pilipchatina Yuliya</t>
  </si>
  <si>
    <t>Open (29.09.1984)/33</t>
  </si>
  <si>
    <t>73,10</t>
  </si>
  <si>
    <t>Stoyanov Valeriy</t>
  </si>
  <si>
    <t>Masters 55-59 (25.11.1957)/60</t>
  </si>
  <si>
    <t>73,70</t>
  </si>
  <si>
    <t>Movahedazar Farshad</t>
  </si>
  <si>
    <t>Open (30.03.1992)/25</t>
  </si>
  <si>
    <t>Zhabin Vladimir</t>
  </si>
  <si>
    <t>Open (27.06.1980)/37</t>
  </si>
  <si>
    <t>89,20</t>
  </si>
  <si>
    <t>Eck Laszlo</t>
  </si>
  <si>
    <t>Open (27.05.1978)/39</t>
  </si>
  <si>
    <t>87,50</t>
  </si>
  <si>
    <t>Ahmadov Ramil</t>
  </si>
  <si>
    <t>Open (06.05.1988)/29</t>
  </si>
  <si>
    <t>Nosov Aleksandr</t>
  </si>
  <si>
    <t>Open (01.01.1985)/32</t>
  </si>
  <si>
    <t>98,30</t>
  </si>
  <si>
    <t>277,5</t>
  </si>
  <si>
    <t>Mohammed Azamathulla</t>
  </si>
  <si>
    <t>Open (23.11.1977)/40</t>
  </si>
  <si>
    <t>95,90</t>
  </si>
  <si>
    <t>Ghazizadehkhosroshahi Mehdi</t>
  </si>
  <si>
    <t>Open (24.07.1985)/32</t>
  </si>
  <si>
    <t>Karimpourbakhshkandi Tohid</t>
  </si>
  <si>
    <t>Open (17.05.1982)/35</t>
  </si>
  <si>
    <t>121,10</t>
  </si>
  <si>
    <t>Hudak Ondrej</t>
  </si>
  <si>
    <t>Masters 40-44 (02.02.1975)/42</t>
  </si>
  <si>
    <t>116,30</t>
  </si>
  <si>
    <t>Repisky Karol</t>
  </si>
  <si>
    <t>Masters 50-54 (26.06.1964)/53</t>
  </si>
  <si>
    <t>130,30</t>
  </si>
  <si>
    <t>Shirin Ehsan</t>
  </si>
  <si>
    <t>Open (23.01.1987)/30</t>
  </si>
  <si>
    <t>Armin Rafaat</t>
  </si>
  <si>
    <t>Open (16.09.1985)/32</t>
  </si>
  <si>
    <t>146,40</t>
  </si>
  <si>
    <t>170,1400</t>
  </si>
  <si>
    <t>158,3067</t>
  </si>
  <si>
    <t>188,1600</t>
  </si>
  <si>
    <t>175,2465</t>
  </si>
  <si>
    <t>170,4380</t>
  </si>
  <si>
    <t>169,8240</t>
  </si>
  <si>
    <t>159,9075</t>
  </si>
  <si>
    <t>152,1450</t>
  </si>
  <si>
    <t>147,0393</t>
  </si>
  <si>
    <t>146,1112</t>
  </si>
  <si>
    <t>145,7675</t>
  </si>
  <si>
    <t>142,4295</t>
  </si>
  <si>
    <t>128,9200</t>
  </si>
  <si>
    <t>105,1850</t>
  </si>
  <si>
    <t>228,3372</t>
  </si>
  <si>
    <t>177,5962</t>
  </si>
  <si>
    <t>172,5827</t>
  </si>
  <si>
    <t>159,8518</t>
  </si>
  <si>
    <t>World Championship WPC multi-ply powerlifting
Dolgoprudniy, Russia 03-05 November 2017</t>
  </si>
  <si>
    <t>Squat</t>
  </si>
  <si>
    <t>Damminga Deborah</t>
  </si>
  <si>
    <t>Masters 55-59 (04.07.1961)/56</t>
  </si>
  <si>
    <t>74,10</t>
  </si>
  <si>
    <t>110,5</t>
  </si>
  <si>
    <t>Tara O'Shaunessy</t>
  </si>
  <si>
    <t>Masters 40-44 (19.09.1975)/42</t>
  </si>
  <si>
    <t>305</t>
  </si>
  <si>
    <t>248,0556</t>
  </si>
  <si>
    <t>73,60</t>
  </si>
  <si>
    <t>157,5</t>
  </si>
  <si>
    <t>Rustam Musayev</t>
  </si>
  <si>
    <t>Open (08.09.1978)/39</t>
  </si>
  <si>
    <t>225</t>
  </si>
  <si>
    <t>535</t>
  </si>
  <si>
    <t>367,973</t>
  </si>
  <si>
    <t>Sadi Morteza</t>
  </si>
  <si>
    <t>Open (02.07.1991)/26</t>
  </si>
  <si>
    <t>80,20</t>
  </si>
  <si>
    <t>122,5</t>
  </si>
  <si>
    <t>230</t>
  </si>
  <si>
    <t>Scott Kuderick</t>
  </si>
  <si>
    <t>Open (28.02.1974)/43</t>
  </si>
  <si>
    <t>Lehtinen Kai-Oskari</t>
  </si>
  <si>
    <t>Open (13.04.1989)/28</t>
  </si>
  <si>
    <t>400</t>
  </si>
  <si>
    <t>Brodie Shane</t>
  </si>
  <si>
    <t>Masters 40-44 (18.10.1973)/44</t>
  </si>
  <si>
    <t>97,90</t>
  </si>
  <si>
    <t>350</t>
  </si>
  <si>
    <t>Chertushkin Dmitriy</t>
  </si>
  <si>
    <t>Masters 50-54 (15.08.1965)/52</t>
  </si>
  <si>
    <t>Shaban Jafari</t>
  </si>
  <si>
    <t>Open (18.01.1985)/32</t>
  </si>
  <si>
    <t>Matikainen Mikko</t>
  </si>
  <si>
    <t>Open (04.02.1990)/27</t>
  </si>
  <si>
    <t>Kozlov Aleksei</t>
  </si>
  <si>
    <t>Masters 45-49 (19.05.1970)/47</t>
  </si>
  <si>
    <t>105,20</t>
  </si>
  <si>
    <t>Vayda Joseph,</t>
  </si>
  <si>
    <t>Masters 45-49 (31.10.1970)/47</t>
  </si>
  <si>
    <t>106,10</t>
  </si>
  <si>
    <t>Eyvazov Shahin</t>
  </si>
  <si>
    <t>Open (03.02.1982)/35</t>
  </si>
  <si>
    <t>122,10</t>
  </si>
  <si>
    <t>AZ, Ganca</t>
  </si>
  <si>
    <t>460,0</t>
  </si>
  <si>
    <t>470,0</t>
  </si>
  <si>
    <t>502,5</t>
  </si>
  <si>
    <t>115,30</t>
  </si>
  <si>
    <t>915</t>
  </si>
  <si>
    <t>518,7748</t>
  </si>
  <si>
    <t>Prodan Anatoliy</t>
  </si>
  <si>
    <t>Masters 55-59 (02.06.1961)/56</t>
  </si>
  <si>
    <t>116,50</t>
  </si>
  <si>
    <t>Sakala Peter</t>
  </si>
  <si>
    <t>Juniors 20-23 (09.08.1996)/21</t>
  </si>
  <si>
    <t>134,00</t>
  </si>
  <si>
    <t>420,0</t>
  </si>
  <si>
    <t>Cairney Andrew</t>
  </si>
  <si>
    <t>Open (09.07.1979)/38</t>
  </si>
  <si>
    <t>129,30</t>
  </si>
  <si>
    <t>370,0</t>
  </si>
  <si>
    <t>Damminga Gregg</t>
  </si>
  <si>
    <t>Masters 55-59 (07.01.1962)/55</t>
  </si>
  <si>
    <t>131,10</t>
  </si>
  <si>
    <t>146,00</t>
  </si>
  <si>
    <t>146,3935</t>
  </si>
  <si>
    <t>1080,0</t>
  </si>
  <si>
    <t>579,3876</t>
  </si>
  <si>
    <t>960,0</t>
  </si>
  <si>
    <t>558,0480</t>
  </si>
  <si>
    <t>612,5</t>
  </si>
  <si>
    <t>375,2175</t>
  </si>
  <si>
    <t>657,5</t>
  </si>
  <si>
    <t>369,9424</t>
  </si>
  <si>
    <t>495,0</t>
  </si>
  <si>
    <t>325,0665</t>
  </si>
  <si>
    <t>213,2335</t>
  </si>
  <si>
    <t>1110,0</t>
  </si>
  <si>
    <t>621,2947</t>
  </si>
  <si>
    <t>422,5</t>
  </si>
  <si>
    <t>604,8151</t>
  </si>
  <si>
    <t>740,0</t>
  </si>
  <si>
    <t>511,3634</t>
  </si>
  <si>
    <t>805,0</t>
  </si>
  <si>
    <t>492,5602</t>
  </si>
  <si>
    <t>750,0</t>
  </si>
  <si>
    <t>462,7984</t>
  </si>
  <si>
    <t>289,3408</t>
  </si>
  <si>
    <t>158,7508</t>
  </si>
  <si>
    <t>World Championship WPC single-ply powerlifting
Dolgoprudniy, Russia 03-05 November 2017</t>
  </si>
  <si>
    <t>Kalanina Mariya</t>
  </si>
  <si>
    <t>Open (29.03.1982)/35</t>
  </si>
  <si>
    <t>Connoly Joanne</t>
  </si>
  <si>
    <t>191,0</t>
  </si>
  <si>
    <t>49,90</t>
  </si>
  <si>
    <t>105</t>
  </si>
  <si>
    <t>Kolpakov Pavel</t>
  </si>
  <si>
    <t>Teen 18-19 (18.06.1998)/19</t>
  </si>
  <si>
    <t>66,00</t>
  </si>
  <si>
    <t>170</t>
  </si>
  <si>
    <t>Shatalov Vladimir</t>
  </si>
  <si>
    <t>Teen 18-19 (12.02.1998)/19</t>
  </si>
  <si>
    <t>Solonenko Oleg</t>
  </si>
  <si>
    <t>Open (26.09.1970)/47</t>
  </si>
  <si>
    <t>74,60</t>
  </si>
  <si>
    <t>414,75</t>
  </si>
  <si>
    <t>Semenchenko Ye.O.</t>
  </si>
  <si>
    <t>Masters 45-49 (26.09.1970)/47</t>
  </si>
  <si>
    <t>77,90</t>
  </si>
  <si>
    <t>Son Oleg</t>
  </si>
  <si>
    <t>Open (22.05.1991)/26</t>
  </si>
  <si>
    <t>Perez Carlos</t>
  </si>
  <si>
    <t>Open (02.10.1984)/33</t>
  </si>
  <si>
    <t>Spain</t>
  </si>
  <si>
    <t>290</t>
  </si>
  <si>
    <t>Tyutikov Artem</t>
  </si>
  <si>
    <t>Open (12.11.1982)/35</t>
  </si>
  <si>
    <t>295,0</t>
  </si>
  <si>
    <t>88,90</t>
  </si>
  <si>
    <t>Mironov Mikhail</t>
  </si>
  <si>
    <t>Open (17.06.1994)/23</t>
  </si>
  <si>
    <t>315</t>
  </si>
  <si>
    <t>Akhmetov Timur</t>
  </si>
  <si>
    <t>Open (17.11.1986)/31</t>
  </si>
  <si>
    <t>99,30</t>
  </si>
  <si>
    <t>90,20</t>
  </si>
  <si>
    <t>312,5</t>
  </si>
  <si>
    <t>317,5</t>
  </si>
  <si>
    <t>Muratkin Aleksandr</t>
  </si>
  <si>
    <t>Open (29.08.1985)/32</t>
  </si>
  <si>
    <t>356,0</t>
  </si>
  <si>
    <t>Amirov Ravil</t>
  </si>
  <si>
    <t>Open (01.06.1979)/38</t>
  </si>
  <si>
    <t>101,20</t>
  </si>
  <si>
    <t>775</t>
  </si>
  <si>
    <t>109,60</t>
  </si>
  <si>
    <t>515</t>
  </si>
  <si>
    <t>103,00</t>
  </si>
  <si>
    <t>305,776</t>
  </si>
  <si>
    <t>Karaosman Benjamin</t>
  </si>
  <si>
    <t>Juniors 20-23 (20.06.1996)/21</t>
  </si>
  <si>
    <t>265</t>
  </si>
  <si>
    <t>495</t>
  </si>
  <si>
    <t>272,15</t>
  </si>
  <si>
    <t>Nezhadi Peyman</t>
  </si>
  <si>
    <t>Open (25.04.1988)/29</t>
  </si>
  <si>
    <t>123,20</t>
  </si>
  <si>
    <t>335</t>
  </si>
  <si>
    <t>285</t>
  </si>
  <si>
    <t>Burim Artem</t>
  </si>
  <si>
    <t>Open (10.05.1980)/37</t>
  </si>
  <si>
    <t>280</t>
  </si>
  <si>
    <t>770</t>
  </si>
  <si>
    <t>421,98</t>
  </si>
  <si>
    <t>Ivanov Mikhail</t>
  </si>
  <si>
    <t>Kennedy Joel</t>
  </si>
  <si>
    <t>Open (21.04.1984)/33</t>
  </si>
  <si>
    <t>110,50</t>
  </si>
  <si>
    <t>Davoodi Pezhman</t>
  </si>
  <si>
    <t>Open (22.06.1986)/31</t>
  </si>
  <si>
    <t>119,20</t>
  </si>
  <si>
    <t>155</t>
  </si>
  <si>
    <t>Bugrov Evgeny</t>
  </si>
  <si>
    <t>Masters 40-44 (03.05.1976)/41</t>
  </si>
  <si>
    <t>113,50</t>
  </si>
  <si>
    <t>Gainche Herve</t>
  </si>
  <si>
    <t>Masters 45-49 (24.07.1971)/46</t>
  </si>
  <si>
    <t>119,00</t>
  </si>
  <si>
    <t>Emtsev Nikolay</t>
  </si>
  <si>
    <t>Masters 50-54 (23.05.1967)/50</t>
  </si>
  <si>
    <t>112,90</t>
  </si>
  <si>
    <t>545,0</t>
  </si>
  <si>
    <t>431,2585</t>
  </si>
  <si>
    <t>510,0</t>
  </si>
  <si>
    <t>366,6135</t>
  </si>
  <si>
    <t>710,0</t>
  </si>
  <si>
    <t>489,3320</t>
  </si>
  <si>
    <t>865,0</t>
  </si>
  <si>
    <t>486,5625</t>
  </si>
  <si>
    <t>240,3450</t>
  </si>
  <si>
    <t>475,0</t>
  </si>
  <si>
    <t>480,7950</t>
  </si>
  <si>
    <t>900,0</t>
  </si>
  <si>
    <t>508,5000</t>
  </si>
  <si>
    <t>825,0</t>
  </si>
  <si>
    <t>491,5762</t>
  </si>
  <si>
    <t>473,6308</t>
  </si>
  <si>
    <t>760,0</t>
  </si>
  <si>
    <t>466,7540</t>
  </si>
  <si>
    <t>732,5</t>
  </si>
  <si>
    <t>450,1579</t>
  </si>
  <si>
    <t>437,2875</t>
  </si>
  <si>
    <t>415,7320</t>
  </si>
  <si>
    <t>735,0</t>
  </si>
  <si>
    <t>405,5363</t>
  </si>
  <si>
    <t>660,0</t>
  </si>
  <si>
    <t>403,3590</t>
  </si>
  <si>
    <t>565,0</t>
  </si>
  <si>
    <t>364,7640</t>
  </si>
  <si>
    <t>485,0</t>
  </si>
  <si>
    <t>280,5725</t>
  </si>
  <si>
    <t>158,9200</t>
  </si>
  <si>
    <t>670,0</t>
  </si>
  <si>
    <t>542,7709</t>
  </si>
  <si>
    <t>705,0</t>
  </si>
  <si>
    <t>478,3101</t>
  </si>
  <si>
    <t>757,5</t>
  </si>
  <si>
    <t>478,1904</t>
  </si>
  <si>
    <t>600,0</t>
  </si>
  <si>
    <t>448,7595</t>
  </si>
  <si>
    <t>414,1942</t>
  </si>
  <si>
    <t>625,0</t>
  </si>
  <si>
    <t>368,4600</t>
  </si>
  <si>
    <t xml:space="preserve">   William Roberts</t>
  </si>
  <si>
    <t>World Championship WPC raw powerlifting
Dolgoprudniy, Russia 03-05 November 2017</t>
  </si>
  <si>
    <t>Krastenicsova Julie</t>
  </si>
  <si>
    <t>Teen 16-17 (28.06.2000)/17</t>
  </si>
  <si>
    <t>52,00</t>
  </si>
  <si>
    <t>Czech</t>
  </si>
  <si>
    <t>65</t>
  </si>
  <si>
    <t>52,5</t>
  </si>
  <si>
    <t>80</t>
  </si>
  <si>
    <t>Filant Yuliya</t>
  </si>
  <si>
    <t>37,5</t>
  </si>
  <si>
    <t>42,5</t>
  </si>
  <si>
    <t>95</t>
  </si>
  <si>
    <t>54,20</t>
  </si>
  <si>
    <t>62,5</t>
  </si>
  <si>
    <t>45</t>
  </si>
  <si>
    <t>Huseynova Zarifa</t>
  </si>
  <si>
    <t>Juniors 20-23 (30.03.1995)/22</t>
  </si>
  <si>
    <t>173,0</t>
  </si>
  <si>
    <t>Hasanova Sevil</t>
  </si>
  <si>
    <t>Open (23.11.1988)/29</t>
  </si>
  <si>
    <t>Lavrukhina Irina</t>
  </si>
  <si>
    <t>Open (24.05.1991)/26</t>
  </si>
  <si>
    <t>62,40</t>
  </si>
  <si>
    <t>Tarverdiyev Elmir</t>
  </si>
  <si>
    <t>Open (09.07.1983)/34</t>
  </si>
  <si>
    <t>63,10</t>
  </si>
  <si>
    <t>Medzhidov Rustam</t>
  </si>
  <si>
    <t>Juniors 20-23 (27.03.1994)/23</t>
  </si>
  <si>
    <t>67,50</t>
  </si>
  <si>
    <t>Ruzin Ernst</t>
  </si>
  <si>
    <t>Masters 80up (20.06.1937)/80</t>
  </si>
  <si>
    <t>61,20</t>
  </si>
  <si>
    <t>Ossipov Arlan</t>
  </si>
  <si>
    <t>Teen 16-17 (09.12.1999)/18</t>
  </si>
  <si>
    <t>72,00</t>
  </si>
  <si>
    <t>Yermagambetov Batyrkhan</t>
  </si>
  <si>
    <t>Teen 18-19 (09.05.1999)/18</t>
  </si>
  <si>
    <t>72,20</t>
  </si>
  <si>
    <t>Talagaev Maksim</t>
  </si>
  <si>
    <t>Juniors 20-23 (06.05.1997)/20</t>
  </si>
  <si>
    <t>73,20</t>
  </si>
  <si>
    <t>Khalilov Rovshan</t>
  </si>
  <si>
    <t>Open (08.11.1990)/27</t>
  </si>
  <si>
    <t>Khosravi Mani</t>
  </si>
  <si>
    <t>Masters 55-59 (05.08.1960)/57</t>
  </si>
  <si>
    <t>206,0</t>
  </si>
  <si>
    <t>Arutyunyan Artur</t>
  </si>
  <si>
    <t>Teen 16-17 (18.12.2000)/17</t>
  </si>
  <si>
    <t>75,80</t>
  </si>
  <si>
    <t>Ryzhikh Viktor</t>
  </si>
  <si>
    <t>Open (25.06.1986)/31</t>
  </si>
  <si>
    <t>79,70</t>
  </si>
  <si>
    <t>Kheruvimov Dmitriy</t>
  </si>
  <si>
    <t>Open (01.12.1991)/26</t>
  </si>
  <si>
    <t>David O'Sullivan</t>
  </si>
  <si>
    <t>Open (12.11.1991)/26</t>
  </si>
  <si>
    <t>89,70</t>
  </si>
  <si>
    <t>705</t>
  </si>
  <si>
    <t>432,1650</t>
  </si>
  <si>
    <t>Dos Santos</t>
  </si>
  <si>
    <t>Open (21.07.1993)/24</t>
  </si>
  <si>
    <t>Kuzovatov Vasilij</t>
  </si>
  <si>
    <t>Masters 50-54 (09.03.1963)/54</t>
  </si>
  <si>
    <t>Beglov Dmitriy</t>
  </si>
  <si>
    <t>Teen 16-17 (22.02.2000)/17</t>
  </si>
  <si>
    <t>235</t>
  </si>
  <si>
    <t>Bondarev Vasiliy</t>
  </si>
  <si>
    <t>Juniors 20-23 (08.04.1994)/23</t>
  </si>
  <si>
    <t>99,10</t>
  </si>
  <si>
    <t>272,5</t>
  </si>
  <si>
    <t>Kolpikov Nikita</t>
  </si>
  <si>
    <t>Juniors 20-23 (21.06.1994)/23</t>
  </si>
  <si>
    <t>97,30</t>
  </si>
  <si>
    <t>730</t>
  </si>
  <si>
    <t>429,4225</t>
  </si>
  <si>
    <t>712,5</t>
  </si>
  <si>
    <t>418,7719</t>
  </si>
  <si>
    <t>Mehdiyev Namig</t>
  </si>
  <si>
    <t>Open (23.10.1985)/32</t>
  </si>
  <si>
    <t>98,70</t>
  </si>
  <si>
    <t>416,4919</t>
  </si>
  <si>
    <t>Selivanov Andrey</t>
  </si>
  <si>
    <t>Open (05.10.1991)/26</t>
  </si>
  <si>
    <t>Grinev Dmitriy</t>
  </si>
  <si>
    <t>Masters 40-44 (16.05.1977)/40</t>
  </si>
  <si>
    <t>94,00</t>
  </si>
  <si>
    <t>Myasnikov Vyacheslav</t>
  </si>
  <si>
    <t>Masters 45-49 (07.12.1970)/47</t>
  </si>
  <si>
    <t>Loktev Evgeniy</t>
  </si>
  <si>
    <t>Masters 60-64 (12.01.1957)/60</t>
  </si>
  <si>
    <t>99,70</t>
  </si>
  <si>
    <t>Linnikov Ilya</t>
  </si>
  <si>
    <t>Open (02.11.1981)/36</t>
  </si>
  <si>
    <t>337,5</t>
  </si>
  <si>
    <t>Zakharov Ivan</t>
  </si>
  <si>
    <t>Open (15.02.1990)/27</t>
  </si>
  <si>
    <t>104,50</t>
  </si>
  <si>
    <t>Batig Vladimir</t>
  </si>
  <si>
    <t>Open (14.08.1988)/29</t>
  </si>
  <si>
    <t>101,60</t>
  </si>
  <si>
    <t>Antonov Dmitriy</t>
  </si>
  <si>
    <t>Masters 40-44 (08.07.1975)/42</t>
  </si>
  <si>
    <t>105,50</t>
  </si>
  <si>
    <t>245</t>
  </si>
  <si>
    <t>Goeck Michael</t>
  </si>
  <si>
    <t>Masters 45-49 (27.09.1968)/49</t>
  </si>
  <si>
    <t>104,80</t>
  </si>
  <si>
    <t>Minin Vladimir</t>
  </si>
  <si>
    <t>Masters 50-54 (29.08.1967)/50</t>
  </si>
  <si>
    <t>101,70</t>
  </si>
  <si>
    <t>Huseynov Razim</t>
  </si>
  <si>
    <t>Open (28.12.1975)/42</t>
  </si>
  <si>
    <t>342,5</t>
  </si>
  <si>
    <t>327,5</t>
  </si>
  <si>
    <t>Zaytsev Alexandr</t>
  </si>
  <si>
    <t>Open (06.04.1980)/37</t>
  </si>
  <si>
    <t>119,60</t>
  </si>
  <si>
    <t>Mardanov Vusal</t>
  </si>
  <si>
    <t>Open (18.02.1985)/32</t>
  </si>
  <si>
    <t>116,60</t>
  </si>
  <si>
    <t>121,90</t>
  </si>
  <si>
    <t>Svetlov Gena</t>
  </si>
  <si>
    <t>Masters 40-44 (24.04.1976)/41</t>
  </si>
  <si>
    <t>122,70</t>
  </si>
  <si>
    <t>Ovchinnikov R.A.</t>
  </si>
  <si>
    <t>119,10</t>
  </si>
  <si>
    <t>Burlakov Alexandr</t>
  </si>
  <si>
    <t>Masters 55-59 (07.01.1959)/58</t>
  </si>
  <si>
    <t>114,40</t>
  </si>
  <si>
    <t>Romanov Yuriy</t>
  </si>
  <si>
    <t>Open (08.01.1983)/34</t>
  </si>
  <si>
    <t>126,60</t>
  </si>
  <si>
    <t>Sommer Michael</t>
  </si>
  <si>
    <t>Open (19.01.1988)/29</t>
  </si>
  <si>
    <t>130,60</t>
  </si>
  <si>
    <t>Schrott Michael</t>
  </si>
  <si>
    <t>Masters 45-49 (17.10.1972)/45</t>
  </si>
  <si>
    <t>131,20</t>
  </si>
  <si>
    <t>Tiainen Aki</t>
  </si>
  <si>
    <t>132,10</t>
  </si>
  <si>
    <t>Smirnov Dmitriy</t>
  </si>
  <si>
    <t>Open (18.11.1978)/39</t>
  </si>
  <si>
    <t>141,40</t>
  </si>
  <si>
    <t>232,5960</t>
  </si>
  <si>
    <t>417,5</t>
  </si>
  <si>
    <t>412,3230</t>
  </si>
  <si>
    <t>377,5</t>
  </si>
  <si>
    <t>346,0354</t>
  </si>
  <si>
    <t>320,6285</t>
  </si>
  <si>
    <t>346,0448</t>
  </si>
  <si>
    <t>338,1969</t>
  </si>
  <si>
    <t>271,8568</t>
  </si>
  <si>
    <t>615,0</t>
  </si>
  <si>
    <t>360,1440</t>
  </si>
  <si>
    <t>272,8302</t>
  </si>
  <si>
    <t>392,5</t>
  </si>
  <si>
    <t>268,1560</t>
  </si>
  <si>
    <t>367,5</t>
  </si>
  <si>
    <t>260,9985</t>
  </si>
  <si>
    <t>222,3760</t>
  </si>
  <si>
    <t>382,1268</t>
  </si>
  <si>
    <t>228,2620</t>
  </si>
  <si>
    <t>922,5</t>
  </si>
  <si>
    <t>503,1315</t>
  </si>
  <si>
    <t>475,2310</t>
  </si>
  <si>
    <t>835,0</t>
  </si>
  <si>
    <t>469,8128</t>
  </si>
  <si>
    <t>820,0</t>
  </si>
  <si>
    <t>468,7120</t>
  </si>
  <si>
    <t>815,0</t>
  </si>
  <si>
    <t>438,4537</t>
  </si>
  <si>
    <t>632,5</t>
  </si>
  <si>
    <t>436,8045</t>
  </si>
  <si>
    <t>780,0</t>
  </si>
  <si>
    <t>424,1328</t>
  </si>
  <si>
    <t>630,0</t>
  </si>
  <si>
    <t>415,4850</t>
  </si>
  <si>
    <t>412,2607</t>
  </si>
  <si>
    <t>770,0</t>
  </si>
  <si>
    <t>408,1000</t>
  </si>
  <si>
    <t>690,0</t>
  </si>
  <si>
    <t>406,6860</t>
  </si>
  <si>
    <t>720,0</t>
  </si>
  <si>
    <t>397,0080</t>
  </si>
  <si>
    <t>640,0</t>
  </si>
  <si>
    <t>393,5360</t>
  </si>
  <si>
    <t>388,5912</t>
  </si>
  <si>
    <t>522,5</t>
  </si>
  <si>
    <t>336,8035</t>
  </si>
  <si>
    <t>490,0</t>
  </si>
  <si>
    <t>288,2425</t>
  </si>
  <si>
    <t>472,5</t>
  </si>
  <si>
    <t>277,7119</t>
  </si>
  <si>
    <t>276,1999</t>
  </si>
  <si>
    <t>248,2650</t>
  </si>
  <si>
    <t>615,6581</t>
  </si>
  <si>
    <t>527,5</t>
  </si>
  <si>
    <t>462,3564</t>
  </si>
  <si>
    <t>429,5990</t>
  </si>
  <si>
    <t>580,0</t>
  </si>
  <si>
    <t>427,2671</t>
  </si>
  <si>
    <t>417,5757</t>
  </si>
  <si>
    <t>412,6130</t>
  </si>
  <si>
    <t>520,0</t>
  </si>
  <si>
    <t>405,5725</t>
  </si>
  <si>
    <t>398,5263</t>
  </si>
  <si>
    <t>665,0</t>
  </si>
  <si>
    <t>397,6700</t>
  </si>
  <si>
    <t>391,8321</t>
  </si>
  <si>
    <t>560,0</t>
  </si>
  <si>
    <t>355,9240</t>
  </si>
  <si>
    <t>286,2215</t>
  </si>
  <si>
    <t>505,0</t>
  </si>
  <si>
    <t>279,5584</t>
  </si>
  <si>
    <t>World Championship WPC Powerlifting Classic Raw
Dolgoprudniy, Russia 03-05 November 2017</t>
  </si>
  <si>
    <t>100,5</t>
  </si>
  <si>
    <t>175,5</t>
  </si>
  <si>
    <t>Lina O'Sullivan</t>
  </si>
  <si>
    <t>Open (15.06.1980)/37</t>
  </si>
  <si>
    <t>58,20</t>
  </si>
  <si>
    <t>Pogula Ekaterina</t>
  </si>
  <si>
    <t>Masters 45-49 (28.04.1972)/45</t>
  </si>
  <si>
    <t>70</t>
  </si>
  <si>
    <t>35</t>
  </si>
  <si>
    <t>Ablaeva Viktoriya</t>
  </si>
  <si>
    <t>Open (08.05.1983)/34</t>
  </si>
  <si>
    <t>68,60</t>
  </si>
  <si>
    <t>Khudayarov Anna</t>
  </si>
  <si>
    <t>Open (24.01.1988)/29</t>
  </si>
  <si>
    <t>74,40</t>
  </si>
  <si>
    <t>505</t>
  </si>
  <si>
    <t>444,47</t>
  </si>
  <si>
    <t>Batkhuyag Batdorj</t>
  </si>
  <si>
    <t>Juniors 20-23 (26.10.1994)/23</t>
  </si>
  <si>
    <t>58,30</t>
  </si>
  <si>
    <t>131,0</t>
  </si>
  <si>
    <t>262,5</t>
  </si>
  <si>
    <t>662,5</t>
  </si>
  <si>
    <t>74,20</t>
  </si>
  <si>
    <t>580</t>
  </si>
  <si>
    <t>Leitmann Klaus</t>
  </si>
  <si>
    <t>Open (19.03.1990)/27</t>
  </si>
  <si>
    <t>520</t>
  </si>
  <si>
    <t>Tumurbaatar Chakhar</t>
  </si>
  <si>
    <t>537,5</t>
  </si>
  <si>
    <t>Geary Luke</t>
  </si>
  <si>
    <t>Juniors 20-23 (19.12.1994)/23</t>
  </si>
  <si>
    <t>UK</t>
  </si>
  <si>
    <t>Campos David</t>
  </si>
  <si>
    <t>Juniors 20-23 (29.08.1994)/23</t>
  </si>
  <si>
    <t>Karpenko Aleksandr</t>
  </si>
  <si>
    <t>Open (25.04.1992)/25</t>
  </si>
  <si>
    <t>310</t>
  </si>
  <si>
    <t>830</t>
  </si>
  <si>
    <t>535,0180</t>
  </si>
  <si>
    <t>Lusis Andris</t>
  </si>
  <si>
    <t>Open (07.07.1983)/34</t>
  </si>
  <si>
    <t>81,90</t>
  </si>
  <si>
    <t>Clayton Darren</t>
  </si>
  <si>
    <t>Open (03.12.1980)/37</t>
  </si>
  <si>
    <t>80,60</t>
  </si>
  <si>
    <t>UK/Great Britain</t>
  </si>
  <si>
    <t>Open (04.04.1996)/21</t>
  </si>
  <si>
    <t>Shnaider Anatoliy</t>
  </si>
  <si>
    <t>Masters 60-64 (03.01.1957)/60</t>
  </si>
  <si>
    <t>76,20</t>
  </si>
  <si>
    <t>205</t>
  </si>
  <si>
    <t>Matannakhanov Nikolay</t>
  </si>
  <si>
    <t>Masters 65-69 (22.10.1952)/65</t>
  </si>
  <si>
    <t>80,50</t>
  </si>
  <si>
    <t>88,70</t>
  </si>
  <si>
    <t>Shevchenko Oleksandr</t>
  </si>
  <si>
    <t>Open (23.12.1990)/27</t>
  </si>
  <si>
    <t>750</t>
  </si>
  <si>
    <t>463,8375</t>
  </si>
  <si>
    <t>Ostapyshyn Kyrylo</t>
  </si>
  <si>
    <t>Open (17.03.1985)/32</t>
  </si>
  <si>
    <t>88,80</t>
  </si>
  <si>
    <t>727,5</t>
  </si>
  <si>
    <t>448,4674</t>
  </si>
  <si>
    <t>Panfilov Maksim</t>
  </si>
  <si>
    <t>725</t>
  </si>
  <si>
    <t>444,4250</t>
  </si>
  <si>
    <t>667,5</t>
  </si>
  <si>
    <t>410,9798</t>
  </si>
  <si>
    <t>Ravi Ranjan</t>
  </si>
  <si>
    <t>Open (15.12.1991)/26</t>
  </si>
  <si>
    <t>Nurov Amridin</t>
  </si>
  <si>
    <t>Open (10.09.1982)/35</t>
  </si>
  <si>
    <t>82,80</t>
  </si>
  <si>
    <t>Nuno Nobre</t>
  </si>
  <si>
    <t>Masters 40-44 (12.09.1977)/40</t>
  </si>
  <si>
    <t>85,20</t>
  </si>
  <si>
    <t>Portugal</t>
  </si>
  <si>
    <t>Kirwan James</t>
  </si>
  <si>
    <t>Masters 45-49 (18.05.1971)/46</t>
  </si>
  <si>
    <t>135</t>
  </si>
  <si>
    <t>93,90</t>
  </si>
  <si>
    <t>600</t>
  </si>
  <si>
    <t>359,0400</t>
  </si>
  <si>
    <t>98,80</t>
  </si>
  <si>
    <t>635</t>
  </si>
  <si>
    <t>371,0305</t>
  </si>
  <si>
    <t>590</t>
  </si>
  <si>
    <t>Trubichkin Yaroslav</t>
  </si>
  <si>
    <t>Open (16.06.1987)/30</t>
  </si>
  <si>
    <t>Krym</t>
  </si>
  <si>
    <t>325</t>
  </si>
  <si>
    <t>92,20</t>
  </si>
  <si>
    <t>94,90</t>
  </si>
  <si>
    <t>Savanin Pavel</t>
  </si>
  <si>
    <t>Open (17.10.1988)/29</t>
  </si>
  <si>
    <t>Krivonogov Alexey</t>
  </si>
  <si>
    <t>Open (29.11.1980)/37</t>
  </si>
  <si>
    <t>95,70</t>
  </si>
  <si>
    <t>Michalon Marc</t>
  </si>
  <si>
    <t>Open (09.05.1978)/39</t>
  </si>
  <si>
    <t>347,8935</t>
  </si>
  <si>
    <t>Zundui Munkh-Erdene</t>
  </si>
  <si>
    <t>Masters 40-44 (08.12.1976)/41</t>
  </si>
  <si>
    <t>Folprecht Petr</t>
  </si>
  <si>
    <t>Open (03.12.1985)/32</t>
  </si>
  <si>
    <t>107,10</t>
  </si>
  <si>
    <t>Barbee Geromy</t>
  </si>
  <si>
    <t>Open (07.04.1978)/39</t>
  </si>
  <si>
    <t>109,50</t>
  </si>
  <si>
    <t>287,5</t>
  </si>
  <si>
    <t>735</t>
  </si>
  <si>
    <t>413,9520</t>
  </si>
  <si>
    <t>Pagvaarsuren Otgonmunkh</t>
  </si>
  <si>
    <t>Masters 40-44 (25.09.1973)/44</t>
  </si>
  <si>
    <t>106,50</t>
  </si>
  <si>
    <t>Salonen Petri</t>
  </si>
  <si>
    <t>Masters 40-44 (10.09.1975)/42</t>
  </si>
  <si>
    <t>108,40</t>
  </si>
  <si>
    <t>406,1836</t>
  </si>
  <si>
    <t>512,5</t>
  </si>
  <si>
    <t>315,3306</t>
  </si>
  <si>
    <t>305,7734</t>
  </si>
  <si>
    <t>Toth Nicolas</t>
  </si>
  <si>
    <t>Teen 18-19 (11.08.1998)/19</t>
  </si>
  <si>
    <t>Chernenko Andrey</t>
  </si>
  <si>
    <t>Open (12.04.1993)/24</t>
  </si>
  <si>
    <t>375,0</t>
  </si>
  <si>
    <t>Phogat Vikram</t>
  </si>
  <si>
    <t>Open (11.10.1991)/26</t>
  </si>
  <si>
    <t>114,10</t>
  </si>
  <si>
    <t>Robison Chad</t>
  </si>
  <si>
    <t>Open (30.03.1988)/29</t>
  </si>
  <si>
    <t>560</t>
  </si>
  <si>
    <t>307,6640</t>
  </si>
  <si>
    <t>Pagvaarsuren Molomjamts</t>
  </si>
  <si>
    <t>Masters 50-54 (28.09.1967)/50</t>
  </si>
  <si>
    <t>112,70</t>
  </si>
  <si>
    <t>325,2518</t>
  </si>
  <si>
    <t>125,40</t>
  </si>
  <si>
    <t>Erdenebat Zorigbaatar</t>
  </si>
  <si>
    <t>Open (29.10.1981)/36</t>
  </si>
  <si>
    <t>136,90</t>
  </si>
  <si>
    <t>875</t>
  </si>
  <si>
    <t>467,0969</t>
  </si>
  <si>
    <t>Ermakov Alexey</t>
  </si>
  <si>
    <t>Open (03.07.1973)/44</t>
  </si>
  <si>
    <t>136,00</t>
  </si>
  <si>
    <t>Masters 40-44 (03.07.1973)/44</t>
  </si>
  <si>
    <t>126,10</t>
  </si>
  <si>
    <t>Harford Eamonn</t>
  </si>
  <si>
    <t>Open (29.11.1990)/27</t>
  </si>
  <si>
    <t>149,80</t>
  </si>
  <si>
    <t>Yakovlev Sergey</t>
  </si>
  <si>
    <t>Masters 40-44 (16.11.1972)/45</t>
  </si>
  <si>
    <t>162,70</t>
  </si>
  <si>
    <t>465,5200</t>
  </si>
  <si>
    <t>500,0</t>
  </si>
  <si>
    <t>444,4750</t>
  </si>
  <si>
    <t>442,3153</t>
  </si>
  <si>
    <t>323,6503</t>
  </si>
  <si>
    <t>155,9498</t>
  </si>
  <si>
    <t>425,4120</t>
  </si>
  <si>
    <t>435,0</t>
  </si>
  <si>
    <t>260,3040</t>
  </si>
  <si>
    <t>725,0</t>
  </si>
  <si>
    <t>447,2163</t>
  </si>
  <si>
    <t>572,5</t>
  </si>
  <si>
    <t>373,4704</t>
  </si>
  <si>
    <t>635,0</t>
  </si>
  <si>
    <t>557,5</t>
  </si>
  <si>
    <t>361,3715</t>
  </si>
  <si>
    <t>590,0</t>
  </si>
  <si>
    <t>343,8520</t>
  </si>
  <si>
    <t>336,2744</t>
  </si>
  <si>
    <t>830,0</t>
  </si>
  <si>
    <t>957,5</t>
  </si>
  <si>
    <t>531,1731</t>
  </si>
  <si>
    <t>845,0</t>
  </si>
  <si>
    <t>519,2947</t>
  </si>
  <si>
    <t>482,0475</t>
  </si>
  <si>
    <t>840,0</t>
  </si>
  <si>
    <t>476,2380</t>
  </si>
  <si>
    <t>902,5</t>
  </si>
  <si>
    <t>472,3008</t>
  </si>
  <si>
    <t>465,0800</t>
  </si>
  <si>
    <t>458,3040</t>
  </si>
  <si>
    <t>810,0</t>
  </si>
  <si>
    <t>458,0550</t>
  </si>
  <si>
    <t>442,2375</t>
  </si>
  <si>
    <t>429,8163</t>
  </si>
  <si>
    <t>417,9375</t>
  </si>
  <si>
    <t>410,8560</t>
  </si>
  <si>
    <t>402,8220</t>
  </si>
  <si>
    <t>610,0</t>
  </si>
  <si>
    <t>395,0665</t>
  </si>
  <si>
    <t>387,5995</t>
  </si>
  <si>
    <t>577,5</t>
  </si>
  <si>
    <t>377,9738</t>
  </si>
  <si>
    <t>605,0</t>
  </si>
  <si>
    <t>373,9505</t>
  </si>
  <si>
    <t>371,0945</t>
  </si>
  <si>
    <t>355,9999</t>
  </si>
  <si>
    <t>650,0</t>
  </si>
  <si>
    <t>346,9862</t>
  </si>
  <si>
    <t>432,5</t>
  </si>
  <si>
    <t>298,6845</t>
  </si>
  <si>
    <t>445,0</t>
  </si>
  <si>
    <t>272,7850</t>
  </si>
  <si>
    <t>263,7200</t>
  </si>
  <si>
    <t>532,5</t>
  </si>
  <si>
    <t>485,6064</t>
  </si>
  <si>
    <t>439,2045</t>
  </si>
  <si>
    <t>715,0</t>
  </si>
  <si>
    <t>423,5459</t>
  </si>
  <si>
    <t>411,1845</t>
  </si>
  <si>
    <t>404,2663</t>
  </si>
  <si>
    <t>595,0</t>
  </si>
  <si>
    <t>393,4411</t>
  </si>
  <si>
    <t>382,3167</t>
  </si>
  <si>
    <t>645,0</t>
  </si>
  <si>
    <t>374,9190</t>
  </si>
  <si>
    <t>362,4810</t>
  </si>
  <si>
    <t>342,4021</t>
  </si>
  <si>
    <t>334,7919</t>
  </si>
  <si>
    <t>333,2217</t>
  </si>
  <si>
    <t>329,6211</t>
  </si>
  <si>
    <t>327,3131</t>
  </si>
  <si>
    <t>299,5964</t>
  </si>
  <si>
    <t>230,8963</t>
  </si>
  <si>
    <t>217,8872</t>
  </si>
  <si>
    <t>World Championship M-Repeat BP WPC ½ bw
Dolgoprudniy, Russia 03-05 November 2017</t>
  </si>
  <si>
    <t>Bith date
Age Categoty</t>
  </si>
  <si>
    <t>Weight</t>
  </si>
  <si>
    <t>Reps</t>
  </si>
  <si>
    <t>Chekhovskaya Elena</t>
  </si>
  <si>
    <t>Open (11.04.1978)/39</t>
  </si>
  <si>
    <t>53,10</t>
  </si>
  <si>
    <t>27,5</t>
  </si>
  <si>
    <t>30,0</t>
  </si>
  <si>
    <t>Levshova Marina</t>
  </si>
  <si>
    <t>Open (24.09.1982)/35</t>
  </si>
  <si>
    <t>52,90</t>
  </si>
  <si>
    <t>21,0</t>
  </si>
  <si>
    <t>32,5</t>
  </si>
  <si>
    <t>6,0</t>
  </si>
  <si>
    <t>190,554</t>
  </si>
  <si>
    <t>48,0</t>
  </si>
  <si>
    <t>Dzugkoev David</t>
  </si>
  <si>
    <t>Teen 13-15 (21.11.2003)/14</t>
  </si>
  <si>
    <t>54,00</t>
  </si>
  <si>
    <t>57,0</t>
  </si>
  <si>
    <t>1920,0</t>
  </si>
  <si>
    <t>1548,0000</t>
  </si>
  <si>
    <t>898,6725</t>
  </si>
  <si>
    <t>630,9765</t>
  </si>
  <si>
    <t>1567,5</t>
  </si>
  <si>
    <t>1453,8563</t>
  </si>
  <si>
    <t>1500,0</t>
  </si>
  <si>
    <t>1455,4053</t>
  </si>
  <si>
    <t>World Championship M-Repeat BP WPC 1 bw
Dolgoprudniy, Russia 03-05 November 2017</t>
  </si>
  <si>
    <t>25,0</t>
  </si>
  <si>
    <t>31,0</t>
  </si>
  <si>
    <t>17,0</t>
  </si>
  <si>
    <t>13,0</t>
  </si>
  <si>
    <t>Davydov Andrey</t>
  </si>
  <si>
    <t>Open (30.11.1989)/28</t>
  </si>
  <si>
    <t>66,80</t>
  </si>
  <si>
    <t>Sapegin Dmitriy</t>
  </si>
  <si>
    <t>Open (19.07.1993)/24</t>
  </si>
  <si>
    <t>33,0</t>
  </si>
  <si>
    <t>26,0</t>
  </si>
  <si>
    <t>Pchikhachev Aslanbek</t>
  </si>
  <si>
    <t>Open (20.08.1991)/26</t>
  </si>
  <si>
    <t>51,0</t>
  </si>
  <si>
    <t>Petruk Aleksandr</t>
  </si>
  <si>
    <t>Open (18.09.1978)/39</t>
  </si>
  <si>
    <t>67,70</t>
  </si>
  <si>
    <t>37,0</t>
  </si>
  <si>
    <t>15,0</t>
  </si>
  <si>
    <t>Masters 65-69 (05.08.1950)/67</t>
  </si>
  <si>
    <t>19,0</t>
  </si>
  <si>
    <t>34,0</t>
  </si>
  <si>
    <t>Saratov Denis</t>
  </si>
  <si>
    <t>Juniors 20-23 (16.07.1997)/20</t>
  </si>
  <si>
    <t>81,10</t>
  </si>
  <si>
    <t>Volebov Maksim</t>
  </si>
  <si>
    <t>28,0</t>
  </si>
  <si>
    <t>Morteza Sadi</t>
  </si>
  <si>
    <t>Open (02.06.1991)/26</t>
  </si>
  <si>
    <t>80,15</t>
  </si>
  <si>
    <t>Sharandov Oleg</t>
  </si>
  <si>
    <t>Masters 40-44 (19.06.1973)/44</t>
  </si>
  <si>
    <t>76,30</t>
  </si>
  <si>
    <t>Krvshan Sergey</t>
  </si>
  <si>
    <t>Masters 40-44 (12.02.1973)/44</t>
  </si>
  <si>
    <t>32,0</t>
  </si>
  <si>
    <t>16,0</t>
  </si>
  <si>
    <t>18,0</t>
  </si>
  <si>
    <t>23,0</t>
  </si>
  <si>
    <t>Chmirevskiy Mikhail</t>
  </si>
  <si>
    <t>Open (18.01.1978)/39</t>
  </si>
  <si>
    <t>39,0</t>
  </si>
  <si>
    <t>Trufyakov Aleksandr</t>
  </si>
  <si>
    <t>Masters 40-44 (17.08.1975)/42</t>
  </si>
  <si>
    <t>Efremov Aleksandr</t>
  </si>
  <si>
    <t>Masters 45-49 (14.02.1971)/46</t>
  </si>
  <si>
    <t>29,0</t>
  </si>
  <si>
    <t>10,0</t>
  </si>
  <si>
    <t>24,0</t>
  </si>
  <si>
    <t>Semizelnikov Dmitriy</t>
  </si>
  <si>
    <t>Open (25.04.1987)/30</t>
  </si>
  <si>
    <t>100,40</t>
  </si>
  <si>
    <t>Trishin Valeriy</t>
  </si>
  <si>
    <t>Open (12.09.1981)/36</t>
  </si>
  <si>
    <t>102,50</t>
  </si>
  <si>
    <t>Vnukovskiy Aleksandr</t>
  </si>
  <si>
    <t>Open (06.09.1989)/28</t>
  </si>
  <si>
    <t>101,10</t>
  </si>
  <si>
    <t>Dannikov Yuriy</t>
  </si>
  <si>
    <t>Open (04.12.1974)/43</t>
  </si>
  <si>
    <t>112,50</t>
  </si>
  <si>
    <t>Vetrov Artem</t>
  </si>
  <si>
    <t>Open (11.04.1993)/24</t>
  </si>
  <si>
    <t>119,80</t>
  </si>
  <si>
    <t>Behbood Mohammadreza</t>
  </si>
  <si>
    <t>Open (05.12.1971)/46</t>
  </si>
  <si>
    <t>111,70</t>
  </si>
  <si>
    <t>Masters 40-44 (04.12.1974)/43</t>
  </si>
  <si>
    <t>Sapozhnikov Eduard</t>
  </si>
  <si>
    <t>Masters 45-49 (22.11.1967)/50</t>
  </si>
  <si>
    <t>110,10</t>
  </si>
  <si>
    <t>20,0</t>
  </si>
  <si>
    <t>Masters 45-49 (05.12.1971)/46</t>
  </si>
  <si>
    <t>Gladskih Vladislav</t>
  </si>
  <si>
    <t>Masters 40-44 (27.02.1976)/41</t>
  </si>
  <si>
    <t>2325,0</t>
  </si>
  <si>
    <t>1972,4137</t>
  </si>
  <si>
    <t>1040,0</t>
  </si>
  <si>
    <t>838,5000</t>
  </si>
  <si>
    <t>1638,2598</t>
  </si>
  <si>
    <t>1275,0</t>
  </si>
  <si>
    <t>1274,7817</t>
  </si>
  <si>
    <t>3712,5</t>
  </si>
  <si>
    <t>2410,3405</t>
  </si>
  <si>
    <t>1650,0</t>
  </si>
  <si>
    <t>928,3725</t>
  </si>
  <si>
    <t>2805,0</t>
  </si>
  <si>
    <t>1825,4940</t>
  </si>
  <si>
    <t>2475,0</t>
  </si>
  <si>
    <t>1613,3287</t>
  </si>
  <si>
    <t>2310,0</t>
  </si>
  <si>
    <t>1515,7065</t>
  </si>
  <si>
    <t>2460,0</t>
  </si>
  <si>
    <t>1426,4310</t>
  </si>
  <si>
    <t>3825,0</t>
  </si>
  <si>
    <t>2644,0314</t>
  </si>
  <si>
    <t>3600,0</t>
  </si>
  <si>
    <t>2478,7800</t>
  </si>
  <si>
    <t>3037,5</t>
  </si>
  <si>
    <t>2293,6163</t>
  </si>
  <si>
    <t>3705,0</t>
  </si>
  <si>
    <t>2215,5900</t>
  </si>
  <si>
    <t>3382,5</t>
  </si>
  <si>
    <t>1963,0338</t>
  </si>
  <si>
    <t>3487,5</t>
  </si>
  <si>
    <t>1950,0356</t>
  </si>
  <si>
    <t>2590,0</t>
  </si>
  <si>
    <t>1933,5646</t>
  </si>
  <si>
    <t>3280,0</t>
  </si>
  <si>
    <t>1888,1319</t>
  </si>
  <si>
    <t>3177,5</t>
  </si>
  <si>
    <t>1838,9782</t>
  </si>
  <si>
    <t>2227,5</t>
  </si>
  <si>
    <t>1679,8691</t>
  </si>
  <si>
    <t>1755,0</t>
  </si>
  <si>
    <t>1323,5332</t>
  </si>
  <si>
    <t>2280,0</t>
  </si>
  <si>
    <t>1256,6221</t>
  </si>
  <si>
    <t>2025,0</t>
  </si>
  <si>
    <t>1134,4050</t>
  </si>
  <si>
    <t>1402,5</t>
  </si>
  <si>
    <t>921,4425</t>
  </si>
  <si>
    <t>1400,0</t>
  </si>
  <si>
    <t>877,5900</t>
  </si>
  <si>
    <t>1425,0</t>
  </si>
  <si>
    <t>756,1620</t>
  </si>
  <si>
    <t>2712,5</t>
  </si>
  <si>
    <t>2075,5948</t>
  </si>
  <si>
    <t>1989,0363</t>
  </si>
  <si>
    <t>3300,0</t>
  </si>
  <si>
    <t>1957,4973</t>
  </si>
  <si>
    <t>2635,0</t>
  </si>
  <si>
    <t>1868,7100</t>
  </si>
  <si>
    <t>3315,0</t>
  </si>
  <si>
    <t>1820,5900</t>
  </si>
  <si>
    <t>2250,0</t>
  </si>
  <si>
    <t>1810,3113</t>
  </si>
  <si>
    <t>2640,0</t>
  </si>
  <si>
    <t>1781,9404</t>
  </si>
  <si>
    <t>3010,0</t>
  </si>
  <si>
    <t>1744,1805</t>
  </si>
  <si>
    <t>2682,5</t>
  </si>
  <si>
    <t>1739,2869</t>
  </si>
  <si>
    <t>2925,0</t>
  </si>
  <si>
    <t>1736,3605</t>
  </si>
  <si>
    <t>2932,5</t>
  </si>
  <si>
    <t>1641,1660</t>
  </si>
  <si>
    <t>1330,0</t>
  </si>
  <si>
    <t>1520,7754</t>
  </si>
  <si>
    <t>2530,0</t>
  </si>
  <si>
    <t>1505,5341</t>
  </si>
  <si>
    <t>1955,0</t>
  </si>
  <si>
    <t>1455,8259</t>
  </si>
  <si>
    <t>1429,7748</t>
  </si>
  <si>
    <t>1485,0</t>
  </si>
  <si>
    <t>1352,8676</t>
  </si>
  <si>
    <t>1196,7972</t>
  </si>
  <si>
    <t>1320,0</t>
  </si>
  <si>
    <t>950,1314</t>
  </si>
  <si>
    <t>1125,0</t>
  </si>
  <si>
    <t>917,1486</t>
  </si>
  <si>
    <t>904,7953</t>
  </si>
  <si>
    <t>950,0</t>
  </si>
  <si>
    <t>723,9044</t>
  </si>
  <si>
    <t>World Champions Cup AWPC benchpress soft-equipment 
Dolgoprudniy, Russia 03-05 November 2017</t>
  </si>
  <si>
    <t>Goncharov Andrey</t>
  </si>
  <si>
    <t>Open (27.01.1984)/33</t>
  </si>
  <si>
    <t>Reshetov Nikolay</t>
  </si>
  <si>
    <t>Open (23.02.1959)/58</t>
  </si>
  <si>
    <t>122,9</t>
  </si>
  <si>
    <t>Open (14.08.1971)/46</t>
  </si>
  <si>
    <t>Leonenko Vasiliy</t>
  </si>
  <si>
    <t>Masters 50-54 (06.04.1967)/50</t>
  </si>
  <si>
    <t>Masters 55-59 (23.02.1959)/58</t>
  </si>
  <si>
    <t>Bayandin Konstantin</t>
  </si>
  <si>
    <t>Masters 40-44 (17.06.1976)/41</t>
  </si>
  <si>
    <t>104,00</t>
  </si>
  <si>
    <t>Samodelkin Andrey</t>
  </si>
  <si>
    <t>Masters 40-44 (26.01.1974)/43</t>
  </si>
  <si>
    <t>100,80</t>
  </si>
  <si>
    <t>Smyshlyaev Viktor</t>
  </si>
  <si>
    <t>Masters 55-59 (20.05.1962)/55</t>
  </si>
  <si>
    <t>Rudko Aleksey</t>
  </si>
  <si>
    <t>Open (27.10.1973)/44</t>
  </si>
  <si>
    <t>114,80</t>
  </si>
  <si>
    <t>Sergeev Sergey</t>
  </si>
  <si>
    <t>Open (06.04.1974)/43</t>
  </si>
  <si>
    <t>117,90</t>
  </si>
  <si>
    <t>Ogloblin Denis</t>
  </si>
  <si>
    <t>Open (12.05.1967)/50</t>
  </si>
  <si>
    <t>Masters 40-44 (27.10.1973)/44</t>
  </si>
  <si>
    <t>Masters 40-44 (06.04.1974)/43</t>
  </si>
  <si>
    <t>Masters 50-54 (12.05.1967)/50</t>
  </si>
  <si>
    <t>122,6505</t>
  </si>
  <si>
    <t>175,2818</t>
  </si>
  <si>
    <t>143,8190</t>
  </si>
  <si>
    <t>134,9582</t>
  </si>
  <si>
    <t xml:space="preserve">   Reshetov Nikolay</t>
  </si>
  <si>
    <t>108,5180</t>
  </si>
  <si>
    <t>182,8189</t>
  </si>
  <si>
    <t>176,9484</t>
  </si>
  <si>
    <t>170,5776</t>
  </si>
  <si>
    <t>152,5028</t>
  </si>
  <si>
    <t>150,3516</t>
  </si>
  <si>
    <t>148,2774</t>
  </si>
  <si>
    <t>132,3518</t>
  </si>
  <si>
    <t>130,8986</t>
  </si>
  <si>
    <t>101,5602</t>
  </si>
  <si>
    <t>World Champions Cup AWPC multi-ply benchpress
Dolgoprudniy, Russia 03-05 November 2017</t>
  </si>
  <si>
    <t>World Champions Cup AWPC single-ply benchpress
Dolgoprudniy, Russia 03-05 November 2017</t>
  </si>
  <si>
    <t>Demyanenko Kirill</t>
  </si>
  <si>
    <t>Teen 13-15 (09.02.2002)/15</t>
  </si>
  <si>
    <t>61,60</t>
  </si>
  <si>
    <t>Takutdinov Eldar</t>
  </si>
  <si>
    <t>Teen 18-19 (17.02.1999)/18</t>
  </si>
  <si>
    <t>68,70</t>
  </si>
  <si>
    <t>66,375</t>
  </si>
  <si>
    <t>Kolistratov Dmitriy</t>
  </si>
  <si>
    <t>Masters 40-44 (08.03.1977)/40</t>
  </si>
  <si>
    <t>Nikitin Dmitriy</t>
  </si>
  <si>
    <t>Open (05.09.1988)/29</t>
  </si>
  <si>
    <t>78,50</t>
  </si>
  <si>
    <t>Smyshlyaev Kirill</t>
  </si>
  <si>
    <t>Juniors 20-23 (27.06.1996)/21</t>
  </si>
  <si>
    <t>Popov Ivan</t>
  </si>
  <si>
    <t>Open (07.06.1984)/33</t>
  </si>
  <si>
    <t>92,15</t>
  </si>
  <si>
    <t>Cheremysin Artur</t>
  </si>
  <si>
    <t>Open (29.11.1989)/28</t>
  </si>
  <si>
    <t>Huseinov Natig</t>
  </si>
  <si>
    <t>Open (16.01.1979)/38</t>
  </si>
  <si>
    <t>Troshin Andrey</t>
  </si>
  <si>
    <t>Open (08.06.1984)/33</t>
  </si>
  <si>
    <t>120,70</t>
  </si>
  <si>
    <t>Shadrin Vyacheslav</t>
  </si>
  <si>
    <t>Masters 45-49 (21.02.1968)/49</t>
  </si>
  <si>
    <t>Bergert Lev</t>
  </si>
  <si>
    <t>Masters 50-54 (13.06.1966)/51</t>
  </si>
  <si>
    <t>148,30</t>
  </si>
  <si>
    <t>64,9760</t>
  </si>
  <si>
    <t>74,1813</t>
  </si>
  <si>
    <t>154,0582</t>
  </si>
  <si>
    <t>144,4286</t>
  </si>
  <si>
    <t>83,3000</t>
  </si>
  <si>
    <t>81,8370</t>
  </si>
  <si>
    <t>168,4404</t>
  </si>
  <si>
    <t>131,1576</t>
  </si>
  <si>
    <t>109,2026</t>
  </si>
  <si>
    <t>Body Weight Category  44</t>
  </si>
  <si>
    <t>Mansurova Sabina</t>
  </si>
  <si>
    <t>Teen 13-15 (03.09.2005)/12</t>
  </si>
  <si>
    <t>40,00</t>
  </si>
  <si>
    <t>Dobriyan Viktoriya</t>
  </si>
  <si>
    <t>Juniors 20-23 (08.05.1995)/22</t>
  </si>
  <si>
    <t>42,30</t>
  </si>
  <si>
    <t>45,2760</t>
  </si>
  <si>
    <t>Body Weight Category  48</t>
  </si>
  <si>
    <t>Puhach Alena</t>
  </si>
  <si>
    <t>Masters 40-44 (19.07.1975)/42</t>
  </si>
  <si>
    <t>47,00</t>
  </si>
  <si>
    <t>Belarus</t>
  </si>
  <si>
    <t>64,1529</t>
  </si>
  <si>
    <t>Ushakova Valeriya</t>
  </si>
  <si>
    <t>Teen 13-15 (20.02.2004)/13</t>
  </si>
  <si>
    <t>51,60</t>
  </si>
  <si>
    <t>30</t>
  </si>
  <si>
    <t>33,4320</t>
  </si>
  <si>
    <t>Kozlova Ekaterina</t>
  </si>
  <si>
    <t>Open (10.03.1988)/29</t>
  </si>
  <si>
    <t>51,80</t>
  </si>
  <si>
    <t>Evdokimova Elena</t>
  </si>
  <si>
    <t>Masters 45-49 (06.05.1970)/47</t>
  </si>
  <si>
    <t>47,5</t>
  </si>
  <si>
    <t>Makhamatullina Yuliya</t>
  </si>
  <si>
    <t>Open (29.06.1989)/28</t>
  </si>
  <si>
    <t>55,90</t>
  </si>
  <si>
    <t>Gadzhieva Aida</t>
  </si>
  <si>
    <t>Open (26.09.1991)/26</t>
  </si>
  <si>
    <t>Potapova Natalia</t>
  </si>
  <si>
    <t>Open (23.01.1972)/45</t>
  </si>
  <si>
    <t>59,10</t>
  </si>
  <si>
    <t>Kuznetsova Anna</t>
  </si>
  <si>
    <t>59,70</t>
  </si>
  <si>
    <t>Masters 45-49 (23.01.1972)/45</t>
  </si>
  <si>
    <t>Luchnikova Elena</t>
  </si>
  <si>
    <t>Open (22.09.1990)/27</t>
  </si>
  <si>
    <t>61,10</t>
  </si>
  <si>
    <t>Kuzmina Polina</t>
  </si>
  <si>
    <t>Masters 40-44 (04.11.1976)/41</t>
  </si>
  <si>
    <t>70,4436</t>
  </si>
  <si>
    <t>Nefedova Elena</t>
  </si>
  <si>
    <t>Masters 45-49 (04.05.1972)/45</t>
  </si>
  <si>
    <t>66,40</t>
  </si>
  <si>
    <t>Bogdanov Gleb</t>
  </si>
  <si>
    <t>Teen 13-15 (29.05.2005)/12</t>
  </si>
  <si>
    <t>50,10</t>
  </si>
  <si>
    <t>Kolisnichenko Aleksey</t>
  </si>
  <si>
    <t>Juniors 20-23 (14.07.1994)/23</t>
  </si>
  <si>
    <t>47,70</t>
  </si>
  <si>
    <t>Anisimova Ludmila</t>
  </si>
  <si>
    <t>Masters 50-54 (06.09.1965)/52</t>
  </si>
  <si>
    <t>49,80</t>
  </si>
  <si>
    <t>Murzin Yuriy</t>
  </si>
  <si>
    <t>Teen 16-17 (15.06.2000)/17</t>
  </si>
  <si>
    <t>Fokin Nikolay</t>
  </si>
  <si>
    <t>Teen 18-19 (26.06.1998)/19</t>
  </si>
  <si>
    <t>67,624</t>
  </si>
  <si>
    <t>Kofanov Andriy</t>
  </si>
  <si>
    <t>Open (27.11.1985)/32</t>
  </si>
  <si>
    <t>Salosalov Sergey</t>
  </si>
  <si>
    <t>Teen 13-15 (11.09.2004)/13</t>
  </si>
  <si>
    <t>Yastrebov Aleksandr</t>
  </si>
  <si>
    <t>Teen 13-15 (21.12.2002)/15</t>
  </si>
  <si>
    <t>64,70</t>
  </si>
  <si>
    <t>Valiakhmetov Ildar</t>
  </si>
  <si>
    <t>Teen 16-17 (25.10.2001)/16</t>
  </si>
  <si>
    <t>60,60</t>
  </si>
  <si>
    <t>Mkhitaryan Vagram</t>
  </si>
  <si>
    <t>Open (31.03.1992)/25</t>
  </si>
  <si>
    <t>Khan Vladimir</t>
  </si>
  <si>
    <t>Masters 55-59 (18.04.1962)/55</t>
  </si>
  <si>
    <t>Verzhanovskiy Artem</t>
  </si>
  <si>
    <t>Teen 13-15 (24.10.2002)/15</t>
  </si>
  <si>
    <t>Moldovanov Ivan</t>
  </si>
  <si>
    <t>Teen 13-15 (13.03.2002)/15</t>
  </si>
  <si>
    <t>Chekmazov Danila</t>
  </si>
  <si>
    <t>Teen 16-17 (11.06.2001)/16</t>
  </si>
  <si>
    <t>73,30</t>
  </si>
  <si>
    <t>Los Ivan</t>
  </si>
  <si>
    <t>Juniors 20-23 (03.12.1996)/21</t>
  </si>
  <si>
    <t>Bukalov Roman</t>
  </si>
  <si>
    <t>Juniors 20-23 (07.05.1994)/23</t>
  </si>
  <si>
    <t>73,6995</t>
  </si>
  <si>
    <t>Kopichnikov Valeriy</t>
  </si>
  <si>
    <t>Open (04.02.1989)/28</t>
  </si>
  <si>
    <t>81,8035</t>
  </si>
  <si>
    <t>Afonin Maksim</t>
  </si>
  <si>
    <t>Masters 40-44 (22.07.1975)/42</t>
  </si>
  <si>
    <t>Shalunov Aleksey</t>
  </si>
  <si>
    <t>Masters 45-49 (24.07.1969)/48</t>
  </si>
  <si>
    <t>93,55325</t>
  </si>
  <si>
    <t>Afanyagin S. A.</t>
  </si>
  <si>
    <t>Nagy Akos</t>
  </si>
  <si>
    <t>Open (29.07.1993)/24</t>
  </si>
  <si>
    <t>Kozlov Igor</t>
  </si>
  <si>
    <t>Open (24.08.1990)/27</t>
  </si>
  <si>
    <t>Vorobyov Sergey</t>
  </si>
  <si>
    <t>Open (26.04.1980)/37</t>
  </si>
  <si>
    <t>Kharkov Vladislav</t>
  </si>
  <si>
    <t>Masters 40-44 (15.03.1975)/42</t>
  </si>
  <si>
    <t>Borisov Igor</t>
  </si>
  <si>
    <t>Masters 40-44 (13.01.1974)/43</t>
  </si>
  <si>
    <t>Potapov Eduard</t>
  </si>
  <si>
    <t>Masters 45-49 (21.01.1968)/49</t>
  </si>
  <si>
    <t>Yatskovskiy Andrey</t>
  </si>
  <si>
    <t>Masters 45-49 (14.08.1969)/48</t>
  </si>
  <si>
    <t>78,80</t>
  </si>
  <si>
    <t>Zhemchuzhnikov Oleg</t>
  </si>
  <si>
    <t>Masters 50-54 (27.09.1965)/52</t>
  </si>
  <si>
    <t>Fateev Vladimir</t>
  </si>
  <si>
    <t>Masters 50-54 (01.08.1964)/53</t>
  </si>
  <si>
    <t>78,90</t>
  </si>
  <si>
    <t>Kapuza Vladimir</t>
  </si>
  <si>
    <t>Masters 55-59 (04.08.1962)/55</t>
  </si>
  <si>
    <t>Riso Salgado</t>
  </si>
  <si>
    <t>Masters 65-69 (13.07.1952)/65</t>
  </si>
  <si>
    <t>Uruguay</t>
  </si>
  <si>
    <t>111,6767</t>
  </si>
  <si>
    <t>Tkachuk Aleksandr</t>
  </si>
  <si>
    <t>Masters 75-79 (19.03.1940)/77</t>
  </si>
  <si>
    <t>Evteev Aleksey</t>
  </si>
  <si>
    <t>Juniors 20-23 (08.08.1994)/23</t>
  </si>
  <si>
    <t>117,8190</t>
  </si>
  <si>
    <t>Lapin Gennadiy</t>
  </si>
  <si>
    <t>Juniors 20-23 (13.07.1995)/22</t>
  </si>
  <si>
    <t>87,10</t>
  </si>
  <si>
    <t>Galayda Andrey</t>
  </si>
  <si>
    <t>Open (07.02.1972)/45</t>
  </si>
  <si>
    <t>Bekhtemirov Ramil</t>
  </si>
  <si>
    <t>Open (08.09.1987)/30</t>
  </si>
  <si>
    <t>87,90</t>
  </si>
  <si>
    <t>Suluev Khamid</t>
  </si>
  <si>
    <t>Open (20.08.1974)/43</t>
  </si>
  <si>
    <t>Kirin Ilya</t>
  </si>
  <si>
    <t>Open (15.04.1988)/29</t>
  </si>
  <si>
    <t>87,00</t>
  </si>
  <si>
    <t>Oleynik Sergey</t>
  </si>
  <si>
    <t>Open (05.12.1985)/32</t>
  </si>
  <si>
    <t>Degtyar Pavel</t>
  </si>
  <si>
    <t>Open (25.06.1992)/25</t>
  </si>
  <si>
    <t>87,60</t>
  </si>
  <si>
    <t>Kalachev Nikita</t>
  </si>
  <si>
    <t>Open (02.09.1986)/31</t>
  </si>
  <si>
    <t>Minin Andrey</t>
  </si>
  <si>
    <t>Masters 40-44 (16.04.1976)/41</t>
  </si>
  <si>
    <t>117,99</t>
  </si>
  <si>
    <t>Masters 40-44 (20.08.1974)/43</t>
  </si>
  <si>
    <t>Masters 45-49 (07.02.1972)/45</t>
  </si>
  <si>
    <t>Volkov Vyacheslav</t>
  </si>
  <si>
    <t>Masters 45-49 (13.11.1971)/46</t>
  </si>
  <si>
    <t>Ivanov Igor</t>
  </si>
  <si>
    <t>Masters 45-49 (03.09.1969)/48</t>
  </si>
  <si>
    <t>Chepurnoy Mikhail</t>
  </si>
  <si>
    <t>Masters 45-49 (26.02.1970)/47</t>
  </si>
  <si>
    <t>Kozlov Vladimir</t>
  </si>
  <si>
    <t>Masters 60-64 (15.06.1954)/63</t>
  </si>
  <si>
    <t>85,00</t>
  </si>
  <si>
    <t>Filyaev Vladislav</t>
  </si>
  <si>
    <t>Teen 16-17 (09.11.2000)/17</t>
  </si>
  <si>
    <t>Laptev Ilya</t>
  </si>
  <si>
    <t>Teen 18-19 (03.12.1998)/19</t>
  </si>
  <si>
    <t>97,60</t>
  </si>
  <si>
    <t>Orlov Ilya</t>
  </si>
  <si>
    <t>Open (23.06.1982)/35</t>
  </si>
  <si>
    <t>Petrykin Vladimir</t>
  </si>
  <si>
    <t>Open (25.09.1981)/36</t>
  </si>
  <si>
    <t>98,60</t>
  </si>
  <si>
    <t>Mardoyan Avetik</t>
  </si>
  <si>
    <t>Open (02.03.1992)/25</t>
  </si>
  <si>
    <t>Sergeev Oler</t>
  </si>
  <si>
    <t>Open (26.04.1986)/31</t>
  </si>
  <si>
    <t>98,20</t>
  </si>
  <si>
    <t>0</t>
  </si>
  <si>
    <t>95,2006</t>
  </si>
  <si>
    <t>87,6825</t>
  </si>
  <si>
    <t>Trubachev Andrey</t>
  </si>
  <si>
    <t>Open (26.02.1986)/31</t>
  </si>
  <si>
    <t>Emelyanov Sergey</t>
  </si>
  <si>
    <t>Masters 40-44 (07.04.1975)/42</t>
  </si>
  <si>
    <t>96,00</t>
  </si>
  <si>
    <t>Shabanov Vadim</t>
  </si>
  <si>
    <t>Masters 45-49 (03.02.1972)/45</t>
  </si>
  <si>
    <t>Verzhanovskiy Sergey</t>
  </si>
  <si>
    <t>Masters 50-54 (02.07.1967)/50</t>
  </si>
  <si>
    <t>Alekseev Vladimir</t>
  </si>
  <si>
    <t>Masters 50-54 (21.05.1963)/54</t>
  </si>
  <si>
    <t>Sorokin Gennadiy</t>
  </si>
  <si>
    <t>Masters 55-59 (08.09.1959)/58</t>
  </si>
  <si>
    <t>93,30</t>
  </si>
  <si>
    <t>Hamid Rashidi</t>
  </si>
  <si>
    <t>Open (28.07.1984)/33</t>
  </si>
  <si>
    <t>Shlyagun Ruslan</t>
  </si>
  <si>
    <t>Open (11.03.1979)/38</t>
  </si>
  <si>
    <t>Usynin Konstantin</t>
  </si>
  <si>
    <t>Open (13.05.1988)/29</t>
  </si>
  <si>
    <t>Sergeev Roman</t>
  </si>
  <si>
    <t>Open (19.06.1982)/35</t>
  </si>
  <si>
    <t>Lipovskiy Sergey</t>
  </si>
  <si>
    <t>103,80</t>
  </si>
  <si>
    <t>Sazonov Vadim</t>
  </si>
  <si>
    <t>Masters 40-44 (06.07.1975)/42</t>
  </si>
  <si>
    <t>Kovalskiy Aleksey</t>
  </si>
  <si>
    <t>Masters 40-44 (25.12.1975)/42</t>
  </si>
  <si>
    <t>106,20</t>
  </si>
  <si>
    <t>Kireev Dmitriy</t>
  </si>
  <si>
    <t>Masters 45-49 (28.08.1969)/48</t>
  </si>
  <si>
    <t>109,10</t>
  </si>
  <si>
    <t>102,0506</t>
  </si>
  <si>
    <t>Masters 50-54 (15.02.1966)/51</t>
  </si>
  <si>
    <t>Kolesnikov Sergey</t>
  </si>
  <si>
    <t>Masters 55-59 (20.08.1961)/56</t>
  </si>
  <si>
    <t>Vashkin Oleg</t>
  </si>
  <si>
    <t>Juniors 20-23 (04.04.1994)/23</t>
  </si>
  <si>
    <t>118,80</t>
  </si>
  <si>
    <t>Zhdanov Pavel</t>
  </si>
  <si>
    <t>118,40</t>
  </si>
  <si>
    <t>102,2310</t>
  </si>
  <si>
    <t>Sukhomlin Viktor</t>
  </si>
  <si>
    <t>Open (18.11.1991)/26</t>
  </si>
  <si>
    <t>115,40</t>
  </si>
  <si>
    <t>Shalnov Arseniy</t>
  </si>
  <si>
    <t>Open (22.05.1989)/28</t>
  </si>
  <si>
    <t>Zakharov Sergey</t>
  </si>
  <si>
    <t>Masters 40-44 (27.09.1974)/43</t>
  </si>
  <si>
    <t>121,20</t>
  </si>
  <si>
    <t>Raskhodchikov Dobrogor</t>
  </si>
  <si>
    <t>Masters 40-44 (14.02.1977)/40</t>
  </si>
  <si>
    <t>Belov Dmitriy</t>
  </si>
  <si>
    <t>Masters 45-49 (15.02.1972)/45</t>
  </si>
  <si>
    <t>124,80</t>
  </si>
  <si>
    <t>Bogdanov Igor</t>
  </si>
  <si>
    <t>Masters 45-49 (11.02.1972)/45</t>
  </si>
  <si>
    <t>115,80</t>
  </si>
  <si>
    <t>Bychkov Igor</t>
  </si>
  <si>
    <t>Masters 45-49 (18.06.1970)/47</t>
  </si>
  <si>
    <t>Chubarov Vladimir</t>
  </si>
  <si>
    <t>Masters 50-54 (03.04.1964)/53</t>
  </si>
  <si>
    <t>Seleznev Vladimir</t>
  </si>
  <si>
    <t>Open (09.05.1977)/40</t>
  </si>
  <si>
    <t>126,50</t>
  </si>
  <si>
    <t>Kuritsin Artem</t>
  </si>
  <si>
    <t>Open (03.05.1993)/24</t>
  </si>
  <si>
    <t>127,00</t>
  </si>
  <si>
    <t>Masters 40-44 (09.05.1977)/40</t>
  </si>
  <si>
    <t>Lyubtsov Aleksandr</t>
  </si>
  <si>
    <t>Open (30.11.1984)/33</t>
  </si>
  <si>
    <t>161,40</t>
  </si>
  <si>
    <t>Trofimov Boris</t>
  </si>
  <si>
    <t>Masters 45-49 (21.03.1972)/45</t>
  </si>
  <si>
    <t>146,80</t>
  </si>
  <si>
    <t>121,9976</t>
  </si>
  <si>
    <t>44</t>
  </si>
  <si>
    <t>40,3110</t>
  </si>
  <si>
    <t>80,5475</t>
  </si>
  <si>
    <t>69,9790</t>
  </si>
  <si>
    <t>61,9750</t>
  </si>
  <si>
    <t>54,8835</t>
  </si>
  <si>
    <t>50,1648</t>
  </si>
  <si>
    <t>48,6675</t>
  </si>
  <si>
    <t>74,5102</t>
  </si>
  <si>
    <t>71,1911</t>
  </si>
  <si>
    <t>55,1025</t>
  </si>
  <si>
    <t>99,9420</t>
  </si>
  <si>
    <t>98,5031</t>
  </si>
  <si>
    <t>80,4277</t>
  </si>
  <si>
    <t>78,7867</t>
  </si>
  <si>
    <t>73,7450</t>
  </si>
  <si>
    <t>70,6920</t>
  </si>
  <si>
    <t>70,0450</t>
  </si>
  <si>
    <t>63,1509</t>
  </si>
  <si>
    <t>62,4015</t>
  </si>
  <si>
    <t>57,4324</t>
  </si>
  <si>
    <t>56,2926</t>
  </si>
  <si>
    <t>35,2660</t>
  </si>
  <si>
    <t>107,6790</t>
  </si>
  <si>
    <t>106,6450</t>
  </si>
  <si>
    <t>91,9879</t>
  </si>
  <si>
    <t>91,9515</t>
  </si>
  <si>
    <t>76,9725</t>
  </si>
  <si>
    <t>134,3890</t>
  </si>
  <si>
    <t>124,3654</t>
  </si>
  <si>
    <t>119,0595</t>
  </si>
  <si>
    <t>117,1660</t>
  </si>
  <si>
    <t>114,0360</t>
  </si>
  <si>
    <t>113,6960</t>
  </si>
  <si>
    <t>107,9100</t>
  </si>
  <si>
    <t>103,7700</t>
  </si>
  <si>
    <t>100,1731</t>
  </si>
  <si>
    <t>98,4375</t>
  </si>
  <si>
    <t>95,1772</t>
  </si>
  <si>
    <t>91,7881</t>
  </si>
  <si>
    <t>88,9200</t>
  </si>
  <si>
    <t>87,5070</t>
  </si>
  <si>
    <t>85,7794</t>
  </si>
  <si>
    <t>84,4855</t>
  </si>
  <si>
    <t>83,6704</t>
  </si>
  <si>
    <t>83,4435</t>
  </si>
  <si>
    <t>82,3289</t>
  </si>
  <si>
    <t>81,8452</t>
  </si>
  <si>
    <t>81,8100</t>
  </si>
  <si>
    <t>78,0960</t>
  </si>
  <si>
    <t>77,4302</t>
  </si>
  <si>
    <t>131,2055</t>
  </si>
  <si>
    <t>125,8494</t>
  </si>
  <si>
    <t>119,5945</t>
  </si>
  <si>
    <t>119,2997</t>
  </si>
  <si>
    <t>117,3245</t>
  </si>
  <si>
    <t>116,2570</t>
  </si>
  <si>
    <t>115,9835</t>
  </si>
  <si>
    <t>115,6247</t>
  </si>
  <si>
    <t>115,3970</t>
  </si>
  <si>
    <t>112,3732</t>
  </si>
  <si>
    <t>112,2538</t>
  </si>
  <si>
    <t>111,2963</t>
  </si>
  <si>
    <t>110,8522</t>
  </si>
  <si>
    <t>109,0976</t>
  </si>
  <si>
    <t>107,3996</t>
  </si>
  <si>
    <t>105,6788</t>
  </si>
  <si>
    <t>105,1936</t>
  </si>
  <si>
    <t>103,8959</t>
  </si>
  <si>
    <t>103,2785</t>
  </si>
  <si>
    <t>102,5962</t>
  </si>
  <si>
    <t>102,5315</t>
  </si>
  <si>
    <t>102,2354</t>
  </si>
  <si>
    <t>101,9014</t>
  </si>
  <si>
    <t>101,7273</t>
  </si>
  <si>
    <t>World Champions Cup AWPC single-ply deadlift
Dolgoprudniy, Russia 03-05 November 2017</t>
  </si>
  <si>
    <t>Sheveleva Olga</t>
  </si>
  <si>
    <t>Teen 18-19 (21.02.1998)/19</t>
  </si>
  <si>
    <t>Dorodnikh Vladimir</t>
  </si>
  <si>
    <t>Masters 60-64 (28.03.1954)/63</t>
  </si>
  <si>
    <t>86,50</t>
  </si>
  <si>
    <t>Nefedov Evgeniy</t>
  </si>
  <si>
    <t>Masters 40-44 (11.12.1973)/44</t>
  </si>
  <si>
    <t>Maligin Yury</t>
  </si>
  <si>
    <t>Masters 50-54 (30.06.1967)/50</t>
  </si>
  <si>
    <t>110,7600</t>
  </si>
  <si>
    <t>136,1470</t>
  </si>
  <si>
    <t>159,7761</t>
  </si>
  <si>
    <t>153,4344</t>
  </si>
  <si>
    <t>105,5962</t>
  </si>
  <si>
    <t>World Champions Cup AWPC raw deadlift
Dolgoprudniy, Russia 03-05 November 2017</t>
  </si>
  <si>
    <t>Polstyanova Tatiana</t>
  </si>
  <si>
    <t>Masters 50-54 (20.04.1967)/50</t>
  </si>
  <si>
    <t>41,60</t>
  </si>
  <si>
    <t>Golovunina Irina</t>
  </si>
  <si>
    <t>Open (01.09.1981)/36</t>
  </si>
  <si>
    <t>47,90</t>
  </si>
  <si>
    <t>Kutuzova Marina</t>
  </si>
  <si>
    <t>Open (06.01.1989)/28</t>
  </si>
  <si>
    <t>47,30</t>
  </si>
  <si>
    <t>Gaidina Ekaterina</t>
  </si>
  <si>
    <t>Open (17.04.1986)/31</t>
  </si>
  <si>
    <t>51,40</t>
  </si>
  <si>
    <t>Abdyusheva Ilmira</t>
  </si>
  <si>
    <t>Juniors 20-23 (16.07.1994)/23</t>
  </si>
  <si>
    <t>Levenkova Nataliya</t>
  </si>
  <si>
    <t>Open (16.09.1988)/29</t>
  </si>
  <si>
    <t>52,30</t>
  </si>
  <si>
    <t>Zhdanova Anastasiya</t>
  </si>
  <si>
    <t>Open (11.12.1980)/37</t>
  </si>
  <si>
    <t>55,70</t>
  </si>
  <si>
    <t>Sidorkina Natalia</t>
  </si>
  <si>
    <t>Open (13.04.1987)/30</t>
  </si>
  <si>
    <t>54,60</t>
  </si>
  <si>
    <t>Levina Diana</t>
  </si>
  <si>
    <t>Open (18.04.1981)/36</t>
  </si>
  <si>
    <t>55,40</t>
  </si>
  <si>
    <t>Yasinskaya Evgeniya</t>
  </si>
  <si>
    <t>Open (04.01.1988)/29</t>
  </si>
  <si>
    <t>59,50</t>
  </si>
  <si>
    <t>104,3962</t>
  </si>
  <si>
    <t>Porshneva Yuliya</t>
  </si>
  <si>
    <t>Open (17.09.1985)/32</t>
  </si>
  <si>
    <t>58,90</t>
  </si>
  <si>
    <t>Saburova Svetlana</t>
  </si>
  <si>
    <t>Open (20.02.1972)/45</t>
  </si>
  <si>
    <t>Pereplesnina Oksana</t>
  </si>
  <si>
    <t>Masters 40-44 (18.08.1974)/43</t>
  </si>
  <si>
    <t>63,20</t>
  </si>
  <si>
    <t>Makarova Yuliya</t>
  </si>
  <si>
    <t>Masters 45-49 (30.06.1969)/48</t>
  </si>
  <si>
    <t>Masters 45-49 (20.02.1972)/45</t>
  </si>
  <si>
    <t>Kornienkova Marina</t>
  </si>
  <si>
    <t>68,00</t>
  </si>
  <si>
    <t>Snetkova Oksana</t>
  </si>
  <si>
    <t>Open (28.05.1979)/38</t>
  </si>
  <si>
    <t>Shaydullina Nataliya</t>
  </si>
  <si>
    <t>Open (05.12.1984)/33</t>
  </si>
  <si>
    <t>83,40</t>
  </si>
  <si>
    <t>Grigoriev Arian</t>
  </si>
  <si>
    <t>Juniors 20-23 (10.08.1995)/22</t>
  </si>
  <si>
    <t>64,90</t>
  </si>
  <si>
    <t>Pavlov Egor</t>
  </si>
  <si>
    <t>Open (21.10.1984)/33</t>
  </si>
  <si>
    <t>66,70</t>
  </si>
  <si>
    <t>124,7565</t>
  </si>
  <si>
    <t>Moiseenkov Pavel</t>
  </si>
  <si>
    <t>Juniors 20-23 (16.09.1994)/23</t>
  </si>
  <si>
    <t>Mikhailov Vladimir</t>
  </si>
  <si>
    <t>Juniors 20-23 (13.12.1994)/23</t>
  </si>
  <si>
    <t>139,5630</t>
  </si>
  <si>
    <t>Buyanov Mikhail</t>
  </si>
  <si>
    <t>Masters 40-44 (18.11.1974)/43</t>
  </si>
  <si>
    <t>Kopyrin Ivan</t>
  </si>
  <si>
    <t>Masters 50-54 (25.10.1967)/50</t>
  </si>
  <si>
    <t>Schemelev Vladimir</t>
  </si>
  <si>
    <t>Masters 55-59 (02.04.1961)/56</t>
  </si>
  <si>
    <t>Naumov Petr</t>
  </si>
  <si>
    <t>Masters 70-74 (19.06.1946)/71</t>
  </si>
  <si>
    <t>71,10</t>
  </si>
  <si>
    <t>Karpachev Vadim</t>
  </si>
  <si>
    <t>Teen 13-15 (10.12.2001)/16</t>
  </si>
  <si>
    <t>186,0</t>
  </si>
  <si>
    <t>Yakubov Emil</t>
  </si>
  <si>
    <t>Teen 16-17 (02.03.2001)/16</t>
  </si>
  <si>
    <t>Kirin Mikhail</t>
  </si>
  <si>
    <t>Teen 18-19 (10.12.1998)/19</t>
  </si>
  <si>
    <t>78,30</t>
  </si>
  <si>
    <t>Konchakov Timofey</t>
  </si>
  <si>
    <t>Juniors 20-23 (14.09.1995)/22</t>
  </si>
  <si>
    <t>78,40</t>
  </si>
  <si>
    <t>Forrest Steven</t>
  </si>
  <si>
    <t>Juniors 20-23 (14.11.1993)/24</t>
  </si>
  <si>
    <t>Donovskiy Pavel</t>
  </si>
  <si>
    <t>Open (23.08.1980)/37</t>
  </si>
  <si>
    <t>87,70</t>
  </si>
  <si>
    <t>Gorbunov Sergey</t>
  </si>
  <si>
    <t>Open (13.11.1991)/26</t>
  </si>
  <si>
    <t>87,40</t>
  </si>
  <si>
    <t>149,328</t>
  </si>
  <si>
    <t>Baghdagyulyan Vachagan</t>
  </si>
  <si>
    <t>Open (23.02.1988)/29</t>
  </si>
  <si>
    <t>Armenia</t>
  </si>
  <si>
    <t>Volkov Artem</t>
  </si>
  <si>
    <t>92,50</t>
  </si>
  <si>
    <t>Gladchenko Vladlen</t>
  </si>
  <si>
    <t>Masters 45-49 (23.10.1970)/47</t>
  </si>
  <si>
    <t>Sadenov Saidulla</t>
  </si>
  <si>
    <t>240,5</t>
  </si>
  <si>
    <t>241,0</t>
  </si>
  <si>
    <t>Didenko Kirill</t>
  </si>
  <si>
    <t>Open (14.09.1993)/24</t>
  </si>
  <si>
    <t>Smirnov Aleksandr</t>
  </si>
  <si>
    <t>Masters 40-44 (21.04.1974)/43</t>
  </si>
  <si>
    <t>215</t>
  </si>
  <si>
    <t>118,293</t>
  </si>
  <si>
    <t>110,8905</t>
  </si>
  <si>
    <t>107,3400</t>
  </si>
  <si>
    <t>48</t>
  </si>
  <si>
    <t>168,2782</t>
  </si>
  <si>
    <t>160,9470</t>
  </si>
  <si>
    <t>154,3500</t>
  </si>
  <si>
    <t>136,2920</t>
  </si>
  <si>
    <t>134,5716</t>
  </si>
  <si>
    <t>134,1360</t>
  </si>
  <si>
    <t>130,4992</t>
  </si>
  <si>
    <t>121,0950</t>
  </si>
  <si>
    <t>114,6285</t>
  </si>
  <si>
    <t>109,3890</t>
  </si>
  <si>
    <t>152,4537</t>
  </si>
  <si>
    <t>147,8831</t>
  </si>
  <si>
    <t>141,9731</t>
  </si>
  <si>
    <t>122,1026</t>
  </si>
  <si>
    <t>123,5060</t>
  </si>
  <si>
    <t>121,4895</t>
  </si>
  <si>
    <t>167,9400</t>
  </si>
  <si>
    <t>156,4875</t>
  </si>
  <si>
    <t>147,1170</t>
  </si>
  <si>
    <t>138,4025</t>
  </si>
  <si>
    <t>106,7130</t>
  </si>
  <si>
    <t>157,8067</t>
  </si>
  <si>
    <t>151,9180</t>
  </si>
  <si>
    <t>141,8625</t>
  </si>
  <si>
    <t>139,7025</t>
  </si>
  <si>
    <t>122,0974</t>
  </si>
  <si>
    <t>206,1289</t>
  </si>
  <si>
    <t>192,9116</t>
  </si>
  <si>
    <t>181,8606</t>
  </si>
  <si>
    <t>175,1284</t>
  </si>
  <si>
    <t>160,5151</t>
  </si>
  <si>
    <t>160,3082</t>
  </si>
  <si>
    <t>142,8006</t>
  </si>
  <si>
    <t>142,0342</t>
  </si>
  <si>
    <t>141,5120</t>
  </si>
  <si>
    <t>141,2802</t>
  </si>
  <si>
    <t>136,1002</t>
  </si>
  <si>
    <t>World Champions Cup AWPC Powerlifting Classic Raw
Dolgoprudniy, Russia 03-05 November 2017</t>
  </si>
  <si>
    <t>Shah Bhavna</t>
  </si>
  <si>
    <t>Open (16.04.1976)/41</t>
  </si>
  <si>
    <t>40,60</t>
  </si>
  <si>
    <t>41,00</t>
  </si>
  <si>
    <t>McKernan Karen</t>
  </si>
  <si>
    <t>Masters 40-44 (07.08.1977)/40</t>
  </si>
  <si>
    <t>Smith Naomi</t>
  </si>
  <si>
    <t>Juniors 20-23 (18.11.1993)/24</t>
  </si>
  <si>
    <t>Lykhin Gennadiy</t>
  </si>
  <si>
    <t>Masters 60-64 (08.10.1954)/63</t>
  </si>
  <si>
    <t>105,5</t>
  </si>
  <si>
    <t>90,5</t>
  </si>
  <si>
    <t>115,5</t>
  </si>
  <si>
    <t>Yashin Viktor</t>
  </si>
  <si>
    <t>Open (29.10.1989)/28</t>
  </si>
  <si>
    <t>Singh Daljeet</t>
  </si>
  <si>
    <t>Open (01.10.1979)/38</t>
  </si>
  <si>
    <t>Baasandorj Munkhbaatar</t>
  </si>
  <si>
    <t>Open (28.01.1981)/36</t>
  </si>
  <si>
    <t>94,30</t>
  </si>
  <si>
    <t>Gerun Andrey</t>
  </si>
  <si>
    <t>Masters 45-49 (02.02.1971)/46</t>
  </si>
  <si>
    <t>95,60</t>
  </si>
  <si>
    <t>Bespalenko Artem</t>
  </si>
  <si>
    <t>Open (21.03.1990)/27</t>
  </si>
  <si>
    <t>Ward Matthew</t>
  </si>
  <si>
    <t>Open (13.03.1992)/25</t>
  </si>
  <si>
    <t>113,60</t>
  </si>
  <si>
    <t>264,5204</t>
  </si>
  <si>
    <t>216,2063</t>
  </si>
  <si>
    <t>343,5098</t>
  </si>
  <si>
    <t>320,7680</t>
  </si>
  <si>
    <t>218,3683</t>
  </si>
  <si>
    <t>394,0860</t>
  </si>
  <si>
    <t>381,3640</t>
  </si>
  <si>
    <t>352,6745</t>
  </si>
  <si>
    <t>341,6831</t>
  </si>
  <si>
    <t>307,3962</t>
  </si>
  <si>
    <t>296,7088</t>
  </si>
  <si>
    <t>562,5</t>
  </si>
  <si>
    <t>430,7381</t>
  </si>
  <si>
    <t>550,0</t>
  </si>
  <si>
    <t>341,8962</t>
  </si>
  <si>
    <t>338,3337</t>
  </si>
  <si>
    <t>World Champions Cup AWPC multi-ply powerlifting
Dolgoprudniy, Russia 03-05 November 2017</t>
  </si>
  <si>
    <t>Lubaev Igor</t>
  </si>
  <si>
    <t>Open (30.04.1979)/38</t>
  </si>
  <si>
    <t>65,60</t>
  </si>
  <si>
    <t>452,5595</t>
  </si>
  <si>
    <t>352,8430</t>
  </si>
  <si>
    <t>World Champions Cup AWPC single-ply powerlifting
Dolgoprudniy, Russia 03-05 November 2017</t>
  </si>
  <si>
    <t>Bondarenko Tatiana</t>
  </si>
  <si>
    <t>Open (12.09.1991)/26</t>
  </si>
  <si>
    <t>392,6492</t>
  </si>
  <si>
    <t>Polfuntikov Aleksandr</t>
  </si>
  <si>
    <t>Open (06.12.1982)/35</t>
  </si>
  <si>
    <t>450</t>
  </si>
  <si>
    <t>266,2425</t>
  </si>
  <si>
    <t>471,4325</t>
  </si>
  <si>
    <t>World Champions Cup AWPC raw powerlifting
Dolgoprudniy, Russia 03-05 November 2017</t>
  </si>
  <si>
    <t>Savchuk Anna</t>
  </si>
  <si>
    <t>Open (20.08.1984)/33</t>
  </si>
  <si>
    <t>43,10</t>
  </si>
  <si>
    <t>50</t>
  </si>
  <si>
    <t>192,9225</t>
  </si>
  <si>
    <t>194,8517</t>
  </si>
  <si>
    <t>Gavrilova Aurika</t>
  </si>
  <si>
    <t>Open (21.06.1988)/29</t>
  </si>
  <si>
    <t>46,80</t>
  </si>
  <si>
    <t>Kuznetsova Kseniya</t>
  </si>
  <si>
    <t>Open (01.11.1989)/28</t>
  </si>
  <si>
    <t>48,00</t>
  </si>
  <si>
    <t>Morozova Anna</t>
  </si>
  <si>
    <t>Open (13.04.1984)/33</t>
  </si>
  <si>
    <t>Smirnova Anna</t>
  </si>
  <si>
    <t>Open (09.03.1983)/34</t>
  </si>
  <si>
    <t>238,1340</t>
  </si>
  <si>
    <t>Budkina Tatiana</t>
  </si>
  <si>
    <t>Open (02.04.1979)/38</t>
  </si>
  <si>
    <t>Melnik Anastasiya</t>
  </si>
  <si>
    <t>Juniors 20-23 (16.06.1996)/21</t>
  </si>
  <si>
    <t>Penkova Polina</t>
  </si>
  <si>
    <t>Teen 13-15 (14.08.2002)/15</t>
  </si>
  <si>
    <t>64,50</t>
  </si>
  <si>
    <t>Kalugina Daria</t>
  </si>
  <si>
    <t>Open (17.07.1983)/34</t>
  </si>
  <si>
    <t>67,20</t>
  </si>
  <si>
    <t>Laur Elena</t>
  </si>
  <si>
    <t>Open (02.01.1983)/34</t>
  </si>
  <si>
    <t>67,65</t>
  </si>
  <si>
    <t>Nikitina Elena</t>
  </si>
  <si>
    <t>Open (12.08.1984)/33</t>
  </si>
  <si>
    <t>Alibaeva Gulnara</t>
  </si>
  <si>
    <t>Masters 40-44 (30.10.1977)/40</t>
  </si>
  <si>
    <t>Leahy Conor</t>
  </si>
  <si>
    <t>Teen 16-17 (22.12.1999)/18</t>
  </si>
  <si>
    <t>268,3669</t>
  </si>
  <si>
    <t>Dambinov Aleksandr</t>
  </si>
  <si>
    <t>Masters 80up (12.03.1936)/81</t>
  </si>
  <si>
    <t>Elista/Kalmykiya</t>
  </si>
  <si>
    <t>Davidyan Ruben</t>
  </si>
  <si>
    <t>Open (24.03.1992)/25</t>
  </si>
  <si>
    <t>71,20</t>
  </si>
  <si>
    <t>Kameshkovo/Vladimirskaya oblast</t>
  </si>
  <si>
    <t>Lukianov Dmitriy</t>
  </si>
  <si>
    <t>Open (29.07.1980)/37</t>
  </si>
  <si>
    <t>80,10</t>
  </si>
  <si>
    <t>Dutov Anton</t>
  </si>
  <si>
    <t>Teen 18-19 (27.04.1999)/18</t>
  </si>
  <si>
    <t>Klimanov Yaroslav</t>
  </si>
  <si>
    <t>Open (04.03.1991)/26</t>
  </si>
  <si>
    <t>Gvozdev Aleksey</t>
  </si>
  <si>
    <t>Masters 45-49 (27.03.1972)/45</t>
  </si>
  <si>
    <t>Bokarev Saveliy</t>
  </si>
  <si>
    <t>Teen 18-19 (30.10.1998)/19</t>
  </si>
  <si>
    <t>Ansimov Andrey</t>
  </si>
  <si>
    <t>Open (22.12.1987)/30</t>
  </si>
  <si>
    <t>Pauyesov A.I.</t>
  </si>
  <si>
    <t>Zabelin Nikolay</t>
  </si>
  <si>
    <t>Open (23.05.1985)/32</t>
  </si>
  <si>
    <t>89,50</t>
  </si>
  <si>
    <t>Vladimirov Evgeniy</t>
  </si>
  <si>
    <t>Open (22.08.1964)/53</t>
  </si>
  <si>
    <t>Balabin Denis</t>
  </si>
  <si>
    <t>Open (06.11.1978)/39</t>
  </si>
  <si>
    <t>Seleznev Mikhail</t>
  </si>
  <si>
    <t>Open (29.10.1984)/33</t>
  </si>
  <si>
    <t>83,20</t>
  </si>
  <si>
    <t>Masters 50-54 (22.08.1964)/53</t>
  </si>
  <si>
    <t>Kovalenko Viktor</t>
  </si>
  <si>
    <t>Masters 55-59 (10.09.1959)/58</t>
  </si>
  <si>
    <t>Magamedkhanov Selimkhan</t>
  </si>
  <si>
    <t>Juniors 20-23 (26.04.1997)/20</t>
  </si>
  <si>
    <t>Sgibnev Anton</t>
  </si>
  <si>
    <t>97,20</t>
  </si>
  <si>
    <t>Martin Yanek</t>
  </si>
  <si>
    <t>Open (14.04.1986)/31</t>
  </si>
  <si>
    <t>Kolesnikov Yuriy</t>
  </si>
  <si>
    <t>Open (22.01.1984)/33</t>
  </si>
  <si>
    <t>Andreev Andrey</t>
  </si>
  <si>
    <t>Open (08.03.1979)/38</t>
  </si>
  <si>
    <t>Seregin Konstantin</t>
  </si>
  <si>
    <t>Open (19.01.1978)/39</t>
  </si>
  <si>
    <t>Vasiliev Aleksey</t>
  </si>
  <si>
    <t>Open (24.03.1989)/28</t>
  </si>
  <si>
    <t>510</t>
  </si>
  <si>
    <t>305,1840</t>
  </si>
  <si>
    <t>Nefedov Ilya</t>
  </si>
  <si>
    <t>Masters 45-49 (25.05.1972)/45</t>
  </si>
  <si>
    <t>99,20</t>
  </si>
  <si>
    <t>Sobachkin Kirill</t>
  </si>
  <si>
    <t>Teen 13-15 (27.05.2003)/14</t>
  </si>
  <si>
    <t>Kriulenko Pavel</t>
  </si>
  <si>
    <t>Teen 18-19 (20.11.1997)/20</t>
  </si>
  <si>
    <t>273,0</t>
  </si>
  <si>
    <t>Pereskokov Sergey</t>
  </si>
  <si>
    <t>Open (14.10.1987)/30</t>
  </si>
  <si>
    <t>Lileev Alexey</t>
  </si>
  <si>
    <t>Masters 45-49 (03.09.1972)/45</t>
  </si>
  <si>
    <t>102,70</t>
  </si>
  <si>
    <t>119,50</t>
  </si>
  <si>
    <t>Alferov Igor</t>
  </si>
  <si>
    <t>Masters 40-44 (02.04.1976)/41</t>
  </si>
  <si>
    <t>233,0750</t>
  </si>
  <si>
    <t>309,4893</t>
  </si>
  <si>
    <t>290,0985</t>
  </si>
  <si>
    <t>284,0658</t>
  </si>
  <si>
    <t>277,0650</t>
  </si>
  <si>
    <t>276,0581</t>
  </si>
  <si>
    <t>270,8400</t>
  </si>
  <si>
    <t>239,1322</t>
  </si>
  <si>
    <t>188,2920</t>
  </si>
  <si>
    <t>177,7298</t>
  </si>
  <si>
    <t>162,9648</t>
  </si>
  <si>
    <t>642,5</t>
  </si>
  <si>
    <t>369,3090</t>
  </si>
  <si>
    <t>575,0</t>
  </si>
  <si>
    <t>354,6888</t>
  </si>
  <si>
    <t>325,7755</t>
  </si>
  <si>
    <t>412,5</t>
  </si>
  <si>
    <t>271,1362</t>
  </si>
  <si>
    <t>390,0</t>
  </si>
  <si>
    <t>221,7735</t>
  </si>
  <si>
    <t>192,2944</t>
  </si>
  <si>
    <t>239,6183</t>
  </si>
  <si>
    <t>201,3247</t>
  </si>
  <si>
    <t>433,4522</t>
  </si>
  <si>
    <t>420,8132</t>
  </si>
  <si>
    <t>391,5295</t>
  </si>
  <si>
    <t>391,3857</t>
  </si>
  <si>
    <t>376,5510</t>
  </si>
  <si>
    <t>376,5337</t>
  </si>
  <si>
    <t>607,5</t>
  </si>
  <si>
    <t>372,8531</t>
  </si>
  <si>
    <t>372,8402</t>
  </si>
  <si>
    <t>567,5</t>
  </si>
  <si>
    <t>367,5414</t>
  </si>
  <si>
    <t>365,1215</t>
  </si>
  <si>
    <t>359,4983</t>
  </si>
  <si>
    <t>348,1800</t>
  </si>
  <si>
    <t>319,2250</t>
  </si>
  <si>
    <t>455,0</t>
  </si>
  <si>
    <t>291,7005</t>
  </si>
  <si>
    <t>439,6310</t>
  </si>
  <si>
    <t>387,6903</t>
  </si>
  <si>
    <t>617,5</t>
  </si>
  <si>
    <t>340,2147</t>
  </si>
  <si>
    <t>395,0</t>
  </si>
  <si>
    <t>314,3556</t>
  </si>
  <si>
    <t>303,4444</t>
  </si>
  <si>
    <t>387,5</t>
  </si>
  <si>
    <t>263,5205</t>
  </si>
  <si>
    <t>218,0080</t>
  </si>
  <si>
    <t>World Championship M-Repeat BP AWPC 1 bw
Dolgoprudniy, Russia 03-05 November 2017</t>
  </si>
  <si>
    <t>Karnaushkina Irina</t>
  </si>
  <si>
    <t>Masters 45-49 (30.06.1972)/45</t>
  </si>
  <si>
    <t>49,50</t>
  </si>
  <si>
    <t>41,0</t>
  </si>
  <si>
    <t>Open (15.06.2000)/17</t>
  </si>
  <si>
    <t>Grishanin Aleksandr</t>
  </si>
  <si>
    <t>Open (27.07.1987)/30</t>
  </si>
  <si>
    <t>70,60</t>
  </si>
  <si>
    <t>Reva Maksim</t>
  </si>
  <si>
    <t>Open (26.12.1988)/29</t>
  </si>
  <si>
    <t>69,00</t>
  </si>
  <si>
    <t>43,0</t>
  </si>
  <si>
    <t>Strelnikov Valeriy</t>
  </si>
  <si>
    <t>Open (25.03.1981)/36</t>
  </si>
  <si>
    <t>69,25</t>
  </si>
  <si>
    <t>Manusevich Vladimir</t>
  </si>
  <si>
    <t>Masters 70-74 (26.03.1946)/71</t>
  </si>
  <si>
    <t>7,0</t>
  </si>
  <si>
    <t>Open (20.05.1987)/30</t>
  </si>
  <si>
    <t>Aglish Sergey</t>
  </si>
  <si>
    <t>Open (24.02.1973)/44</t>
  </si>
  <si>
    <t>Open (21.01.1968)/49</t>
  </si>
  <si>
    <t>38,0</t>
  </si>
  <si>
    <t>Kechkin Arseniy</t>
  </si>
  <si>
    <t>Open (28.02.1989)/28</t>
  </si>
  <si>
    <t>Masters 40-44 (24.02.1973)/44</t>
  </si>
  <si>
    <t>Terekhin Yuriy</t>
  </si>
  <si>
    <t>Open (23.05.1975)/42</t>
  </si>
  <si>
    <t>84,00</t>
  </si>
  <si>
    <t>Yaroshetskiy Vladimir</t>
  </si>
  <si>
    <t>Open (06.06.1982)/35</t>
  </si>
  <si>
    <t>88,60</t>
  </si>
  <si>
    <t>Krivenko Dmitriy</t>
  </si>
  <si>
    <t>Open (24.01.1990)/27</t>
  </si>
  <si>
    <t>88,00</t>
  </si>
  <si>
    <t>Gubarev Ilya</t>
  </si>
  <si>
    <t>Open (15.06.1988)/29</t>
  </si>
  <si>
    <t>Masters 40-44 (23.05.1975)/42</t>
  </si>
  <si>
    <t>Open (05.08.1968)/49</t>
  </si>
  <si>
    <t>96,75</t>
  </si>
  <si>
    <t>36,0</t>
  </si>
  <si>
    <t>Chernov Eduard</t>
  </si>
  <si>
    <t>93,70</t>
  </si>
  <si>
    <t>Shakirov Zakir</t>
  </si>
  <si>
    <t>Open (08.10.1987)/30</t>
  </si>
  <si>
    <t>Masters 45-49 (05.08.1968)/49</t>
  </si>
  <si>
    <t>Mozgolov Anton</t>
  </si>
  <si>
    <t>Open (01.08.1982)/35</t>
  </si>
  <si>
    <t>103,90</t>
  </si>
  <si>
    <t>Djuraev Otabek</t>
  </si>
  <si>
    <t>Open (26.07.1985)/32</t>
  </si>
  <si>
    <t>Uzbekistan</t>
  </si>
  <si>
    <t>Open (05.08.1969)/48</t>
  </si>
  <si>
    <t>22,0</t>
  </si>
  <si>
    <t>Konovalov Yuriy</t>
  </si>
  <si>
    <t>Open (03.01.1985)/32</t>
  </si>
  <si>
    <t>Masters 45-49 (05.08.1969)/48</t>
  </si>
  <si>
    <t>Estoniya</t>
  </si>
  <si>
    <t>1153,8904</t>
  </si>
  <si>
    <t>2048,8109</t>
  </si>
  <si>
    <t>2000,0</t>
  </si>
  <si>
    <t>1168,1000</t>
  </si>
  <si>
    <t>3262,5</t>
  </si>
  <si>
    <t>2353,0781</t>
  </si>
  <si>
    <t>4000,0</t>
  </si>
  <si>
    <t>2339,2000</t>
  </si>
  <si>
    <t>3440,0</t>
  </si>
  <si>
    <t>2268,6800</t>
  </si>
  <si>
    <t>2211,8985</t>
  </si>
  <si>
    <t>2140,5230</t>
  </si>
  <si>
    <t>3510,0</t>
  </si>
  <si>
    <t>2070,1980</t>
  </si>
  <si>
    <t>2800,0</t>
  </si>
  <si>
    <t>2051,4199</t>
  </si>
  <si>
    <t>3570,0</t>
  </si>
  <si>
    <t>2044,7174</t>
  </si>
  <si>
    <t>3135,0</t>
  </si>
  <si>
    <t>2041,8255</t>
  </si>
  <si>
    <t>3150,0</t>
  </si>
  <si>
    <t>1941,8175</t>
  </si>
  <si>
    <t>1877,8649</t>
  </si>
  <si>
    <t>3075,0</t>
  </si>
  <si>
    <t>1779,6563</t>
  </si>
  <si>
    <t>3045,0</t>
  </si>
  <si>
    <t>1744,0237</t>
  </si>
  <si>
    <t>1679,1538</t>
  </si>
  <si>
    <t>2557,5</t>
  </si>
  <si>
    <t>1663,0144</t>
  </si>
  <si>
    <t>2610,0</t>
  </si>
  <si>
    <t>1611,1529</t>
  </si>
  <si>
    <t>2795,0</t>
  </si>
  <si>
    <t>1584,6253</t>
  </si>
  <si>
    <t>2500,0</t>
  </si>
  <si>
    <t>1466,6250</t>
  </si>
  <si>
    <t>2340,0</t>
  </si>
  <si>
    <t>1450,0980</t>
  </si>
  <si>
    <t>2420,0</t>
  </si>
  <si>
    <t>1364,3959</t>
  </si>
  <si>
    <t>2125,0</t>
  </si>
  <si>
    <t>1360,3188</t>
  </si>
  <si>
    <t>1552,5</t>
  </si>
  <si>
    <t>1192,3976</t>
  </si>
  <si>
    <t>1612,5</t>
  </si>
  <si>
    <t>913,1587</t>
  </si>
  <si>
    <t>2632,5</t>
  </si>
  <si>
    <t>2435,0560</t>
  </si>
  <si>
    <t>2304,1304</t>
  </si>
  <si>
    <t>2272,5518</t>
  </si>
  <si>
    <t>2232,5654</t>
  </si>
  <si>
    <t>2002,0139</t>
  </si>
  <si>
    <t>1969,7921</t>
  </si>
  <si>
    <t>2300,0</t>
  </si>
  <si>
    <t>1769,4837</t>
  </si>
  <si>
    <t>1712,7368</t>
  </si>
  <si>
    <t>2665,0</t>
  </si>
  <si>
    <t>1574,3035</t>
  </si>
  <si>
    <t>1496,7424</t>
  </si>
  <si>
    <t>2507,5</t>
  </si>
  <si>
    <t>1390,4949</t>
  </si>
  <si>
    <t>2350,0</t>
  </si>
  <si>
    <t>1376,8515</t>
  </si>
  <si>
    <t>2255,0</t>
  </si>
  <si>
    <t>1347,1662</t>
  </si>
  <si>
    <t>1710,0</t>
  </si>
  <si>
    <t>1153,4724</t>
  </si>
  <si>
    <t>World Championship M-Repeat BP AWPC ½ bw
Dolgoprudniy, Russia 03-05 November 2017</t>
  </si>
  <si>
    <t>68,80</t>
  </si>
  <si>
    <t>Sirenko Lyubov</t>
  </si>
  <si>
    <t>Masters 40-44 (30.08.1976)/41</t>
  </si>
  <si>
    <t>69,90</t>
  </si>
  <si>
    <t>14,0</t>
  </si>
  <si>
    <t>Lyakin Vyacheslav</t>
  </si>
  <si>
    <t>Teen 16-17 (04.11.1999)/18</t>
  </si>
  <si>
    <t>90,60</t>
  </si>
  <si>
    <t>98,0</t>
  </si>
  <si>
    <t>54,0</t>
  </si>
  <si>
    <t>1499,5500</t>
  </si>
  <si>
    <t>1365,0</t>
  </si>
  <si>
    <t>1210,9597</t>
  </si>
  <si>
    <t>1582,0253</t>
  </si>
  <si>
    <t>4655,0</t>
  </si>
  <si>
    <t>2837,9208</t>
  </si>
  <si>
    <t>2700,0</t>
  </si>
  <si>
    <t>1586,1151</t>
  </si>
  <si>
    <t>581,8890</t>
  </si>
  <si>
    <t>359,8418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</si>
</sst>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2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i/>
      <sz val="12"/>
      <name val="Arial Cyr"/>
      <family val="2"/>
    </font>
    <font>
      <strike/>
      <sz val="10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b/>
      <sz val="14"/>
      <name val="Arial Cyr"/>
      <family val="2"/>
    </font>
    <font>
      <b/>
      <i/>
      <sz val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9" fillId="0" borderId="0" xfId="0" applyNumberFormat="1" applyFont="1" applyAlignment="1">
      <alignment horizontal="right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5" fontId="21" fillId="0" borderId="11" xfId="0" applyNumberFormat="1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>
      <alignment horizontal="center" vertical="center"/>
    </xf>
    <xf numFmtId="165" fontId="21" fillId="0" borderId="14" xfId="0" applyNumberFormat="1" applyFont="1" applyFill="1" applyBorder="1" applyAlignment="1">
      <alignment horizontal="right" vertical="center"/>
    </xf>
    <xf numFmtId="165" fontId="21" fillId="0" borderId="15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22" fillId="0" borderId="16" xfId="0" applyNumberFormat="1" applyFont="1" applyFill="1" applyBorder="1" applyAlignment="1">
      <alignment horizontal="center" vertical="center"/>
    </xf>
    <xf numFmtId="165" fontId="22" fillId="0" borderId="17" xfId="0" applyNumberFormat="1" applyFont="1" applyFill="1" applyBorder="1" applyAlignment="1">
      <alignment horizontal="center" vertical="center"/>
    </xf>
    <xf numFmtId="165" fontId="22" fillId="0" borderId="18" xfId="0" applyNumberFormat="1" applyFont="1" applyFill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/>
    </xf>
    <xf numFmtId="165" fontId="0" fillId="0" borderId="20" xfId="0" applyNumberFormat="1" applyFont="1" applyBorder="1" applyAlignment="1">
      <alignment horizontal="justify"/>
    </xf>
    <xf numFmtId="165" fontId="24" fillId="0" borderId="20" xfId="0" applyNumberFormat="1" applyFont="1" applyBorder="1" applyAlignment="1">
      <alignment/>
    </xf>
    <xf numFmtId="165" fontId="19" fillId="0" borderId="20" xfId="0" applyNumberFormat="1" applyFont="1" applyBorder="1" applyAlignment="1">
      <alignment horizontal="right"/>
    </xf>
    <xf numFmtId="165" fontId="0" fillId="0" borderId="21" xfId="0" applyNumberFormat="1" applyFont="1" applyBorder="1" applyAlignment="1">
      <alignment/>
    </xf>
    <xf numFmtId="165" fontId="24" fillId="0" borderId="21" xfId="0" applyNumberFormat="1" applyFont="1" applyBorder="1" applyAlignment="1">
      <alignment/>
    </xf>
    <xf numFmtId="165" fontId="19" fillId="0" borderId="21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/>
    </xf>
    <xf numFmtId="165" fontId="24" fillId="0" borderId="22" xfId="0" applyNumberFormat="1" applyFont="1" applyBorder="1" applyAlignment="1">
      <alignment/>
    </xf>
    <xf numFmtId="165" fontId="19" fillId="0" borderId="22" xfId="0" applyNumberFormat="1" applyFont="1" applyBorder="1" applyAlignment="1">
      <alignment horizontal="right"/>
    </xf>
    <xf numFmtId="165" fontId="0" fillId="0" borderId="23" xfId="0" applyNumberFormat="1" applyFont="1" applyBorder="1" applyAlignment="1">
      <alignment/>
    </xf>
    <xf numFmtId="165" fontId="24" fillId="0" borderId="23" xfId="0" applyNumberFormat="1" applyFont="1" applyBorder="1" applyAlignment="1">
      <alignment/>
    </xf>
    <xf numFmtId="165" fontId="19" fillId="0" borderId="23" xfId="0" applyNumberFormat="1" applyFont="1" applyBorder="1" applyAlignment="1">
      <alignment horizontal="right"/>
    </xf>
    <xf numFmtId="165" fontId="25" fillId="0" borderId="0" xfId="0" applyNumberFormat="1" applyFont="1" applyAlignment="1">
      <alignment horizontal="left"/>
    </xf>
    <xf numFmtId="165" fontId="26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65" fontId="27" fillId="0" borderId="0" xfId="0" applyNumberFormat="1" applyFont="1" applyAlignment="1">
      <alignment horizontal="left" indent="1"/>
    </xf>
    <xf numFmtId="165" fontId="27" fillId="0" borderId="0" xfId="0" applyNumberFormat="1" applyFont="1" applyAlignment="1">
      <alignment/>
    </xf>
    <xf numFmtId="165" fontId="21" fillId="0" borderId="23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left" indent="1"/>
    </xf>
    <xf numFmtId="165" fontId="19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left"/>
    </xf>
    <xf numFmtId="165" fontId="19" fillId="0" borderId="0" xfId="0" applyNumberFormat="1" applyFont="1" applyBorder="1" applyAlignment="1">
      <alignment/>
    </xf>
    <xf numFmtId="165" fontId="21" fillId="0" borderId="14" xfId="0" applyNumberFormat="1" applyFont="1" applyFill="1" applyBorder="1" applyAlignment="1">
      <alignment horizontal="center" vertical="center"/>
    </xf>
    <xf numFmtId="165" fontId="19" fillId="0" borderId="23" xfId="0" applyNumberFormat="1" applyFont="1" applyBorder="1" applyAlignment="1">
      <alignment/>
    </xf>
    <xf numFmtId="165" fontId="19" fillId="0" borderId="20" xfId="0" applyNumberFormat="1" applyFont="1" applyBorder="1" applyAlignment="1">
      <alignment/>
    </xf>
    <xf numFmtId="165" fontId="19" fillId="0" borderId="22" xfId="0" applyNumberFormat="1" applyFont="1" applyBorder="1" applyAlignment="1">
      <alignment/>
    </xf>
    <xf numFmtId="165" fontId="19" fillId="0" borderId="21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24" fillId="0" borderId="24" xfId="0" applyNumberFormat="1" applyFont="1" applyBorder="1" applyAlignment="1">
      <alignment/>
    </xf>
    <xf numFmtId="165" fontId="24" fillId="0" borderId="25" xfId="0" applyNumberFormat="1" applyFont="1" applyBorder="1" applyAlignment="1">
      <alignment/>
    </xf>
    <xf numFmtId="165" fontId="19" fillId="0" borderId="24" xfId="0" applyNumberFormat="1" applyFont="1" applyBorder="1" applyAlignment="1">
      <alignment horizontal="right"/>
    </xf>
    <xf numFmtId="165" fontId="0" fillId="0" borderId="26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24" fillId="0" borderId="27" xfId="0" applyNumberFormat="1" applyFont="1" applyBorder="1" applyAlignment="1">
      <alignment/>
    </xf>
    <xf numFmtId="165" fontId="24" fillId="0" borderId="0" xfId="0" applyNumberFormat="1" applyFont="1" applyBorder="1" applyAlignment="1">
      <alignment/>
    </xf>
    <xf numFmtId="165" fontId="19" fillId="0" borderId="27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22" xfId="0" applyNumberFormat="1" applyFont="1" applyBorder="1" applyAlignment="1">
      <alignment horizontal="left"/>
    </xf>
    <xf numFmtId="165" fontId="24" fillId="0" borderId="22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5" fontId="28" fillId="0" borderId="19" xfId="0" applyNumberFormat="1" applyFont="1" applyFill="1" applyBorder="1" applyAlignment="1">
      <alignment horizontal="center"/>
    </xf>
    <xf numFmtId="165" fontId="19" fillId="0" borderId="23" xfId="0" applyNumberFormat="1" applyFont="1" applyFill="1" applyBorder="1" applyAlignment="1">
      <alignment horizontal="left"/>
    </xf>
    <xf numFmtId="165" fontId="0" fillId="0" borderId="23" xfId="0" applyNumberFormat="1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left"/>
    </xf>
    <xf numFmtId="165" fontId="24" fillId="0" borderId="23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19" fillId="0" borderId="20" xfId="0" applyNumberFormat="1" applyFont="1" applyFill="1" applyBorder="1" applyAlignment="1">
      <alignment horizontal="left"/>
    </xf>
    <xf numFmtId="165" fontId="0" fillId="0" borderId="20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left"/>
    </xf>
    <xf numFmtId="165" fontId="24" fillId="0" borderId="20" xfId="0" applyNumberFormat="1" applyFont="1" applyFill="1" applyBorder="1" applyAlignment="1">
      <alignment horizontal="center"/>
    </xf>
    <xf numFmtId="165" fontId="19" fillId="0" borderId="21" xfId="0" applyNumberFormat="1" applyFont="1" applyFill="1" applyBorder="1" applyAlignment="1">
      <alignment horizontal="left"/>
    </xf>
    <xf numFmtId="165" fontId="0" fillId="0" borderId="21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left"/>
    </xf>
    <xf numFmtId="165" fontId="24" fillId="0" borderId="21" xfId="0" applyNumberFormat="1" applyFont="1" applyFill="1" applyBorder="1" applyAlignment="1">
      <alignment horizontal="center"/>
    </xf>
    <xf numFmtId="165" fontId="19" fillId="0" borderId="22" xfId="0" applyNumberFormat="1" applyFont="1" applyFill="1" applyBorder="1" applyAlignment="1">
      <alignment horizontal="left"/>
    </xf>
    <xf numFmtId="165" fontId="0" fillId="0" borderId="22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left"/>
    </xf>
    <xf numFmtId="165" fontId="24" fillId="0" borderId="22" xfId="0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left"/>
    </xf>
    <xf numFmtId="165" fontId="29" fillId="0" borderId="0" xfId="0" applyNumberFormat="1" applyFont="1" applyFill="1" applyBorder="1" applyAlignment="1">
      <alignment horizontal="left"/>
    </xf>
    <xf numFmtId="165" fontId="26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left" indent="1"/>
    </xf>
    <xf numFmtId="165" fontId="27" fillId="0" borderId="0" xfId="0" applyNumberFormat="1" applyFont="1" applyFill="1" applyBorder="1" applyAlignment="1">
      <alignment horizontal="center"/>
    </xf>
    <xf numFmtId="165" fontId="21" fillId="0" borderId="2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left" indent="1"/>
    </xf>
    <xf numFmtId="165" fontId="0" fillId="0" borderId="0" xfId="0" applyNumberFormat="1" applyFont="1" applyFill="1" applyBorder="1" applyAlignment="1">
      <alignment horizontal="center"/>
    </xf>
    <xf numFmtId="165" fontId="21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left" vertical="center"/>
    </xf>
    <xf numFmtId="165" fontId="21" fillId="0" borderId="0" xfId="0" applyNumberFormat="1" applyFont="1" applyBorder="1" applyAlignment="1">
      <alignment horizontal="center" vertical="center"/>
    </xf>
    <xf numFmtId="165" fontId="0" fillId="0" borderId="30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24" fillId="0" borderId="31" xfId="0" applyNumberFormat="1" applyFont="1" applyBorder="1" applyAlignment="1">
      <alignment/>
    </xf>
    <xf numFmtId="165" fontId="24" fillId="0" borderId="30" xfId="0" applyNumberFormat="1" applyFont="1" applyBorder="1" applyAlignment="1">
      <alignment/>
    </xf>
    <xf numFmtId="165" fontId="19" fillId="0" borderId="30" xfId="0" applyNumberFormat="1" applyFont="1" applyBorder="1" applyAlignment="1">
      <alignment horizontal="right"/>
    </xf>
    <xf numFmtId="165" fontId="19" fillId="0" borderId="20" xfId="0" applyNumberFormat="1" applyFont="1" applyBorder="1" applyAlignment="1">
      <alignment horizontal="left"/>
    </xf>
    <xf numFmtId="165" fontId="0" fillId="0" borderId="23" xfId="0" applyNumberFormat="1" applyFont="1" applyBorder="1" applyAlignment="1">
      <alignment horizontal="right"/>
    </xf>
    <xf numFmtId="165" fontId="0" fillId="0" borderId="23" xfId="0" applyNumberFormat="1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A1">
      <selection activeCell="A14" sqref="A14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8" width="5.50390625" style="1" customWidth="1"/>
    <col min="9" max="9" width="4.50390625" style="1" customWidth="1"/>
    <col min="10" max="10" width="6.375" style="2" customWidth="1"/>
    <col min="11" max="11" width="8.50390625" style="1" customWidth="1"/>
    <col min="12" max="12" width="14.50390625" style="1" customWidth="1"/>
  </cols>
  <sheetData>
    <row r="1" spans="1:12" s="4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6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8"/>
      <c r="H3" s="8"/>
      <c r="I3" s="8"/>
      <c r="J3" s="9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9"/>
      <c r="K4" s="7"/>
      <c r="L4" s="10"/>
    </row>
    <row r="5" spans="1:11" ht="16.5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5">
      <c r="A6" s="16" t="s">
        <v>12</v>
      </c>
      <c r="B6" s="16" t="s">
        <v>13</v>
      </c>
      <c r="C6" s="17" t="s">
        <v>14</v>
      </c>
      <c r="D6" s="16">
        <f>"0,9233"</f>
        <v>0</v>
      </c>
      <c r="E6" s="16" t="s">
        <v>15</v>
      </c>
      <c r="F6" s="16" t="s">
        <v>16</v>
      </c>
      <c r="G6" s="16" t="s">
        <v>17</v>
      </c>
      <c r="H6" s="16" t="s">
        <v>18</v>
      </c>
      <c r="I6" s="18"/>
      <c r="J6" s="19">
        <v>115</v>
      </c>
      <c r="K6" s="16">
        <f>"106,1738"</f>
        <v>0</v>
      </c>
      <c r="L6" s="16"/>
    </row>
    <row r="7" spans="1:12" ht="14.25">
      <c r="A7" s="20" t="s">
        <v>19</v>
      </c>
      <c r="B7" s="20" t="s">
        <v>20</v>
      </c>
      <c r="C7" s="20" t="s">
        <v>21</v>
      </c>
      <c r="D7" s="20">
        <f>"1,0514"</f>
        <v>0</v>
      </c>
      <c r="E7" s="20" t="s">
        <v>15</v>
      </c>
      <c r="F7" s="20" t="s">
        <v>22</v>
      </c>
      <c r="G7" s="20" t="s">
        <v>23</v>
      </c>
      <c r="H7" s="20" t="s">
        <v>24</v>
      </c>
      <c r="I7" s="21"/>
      <c r="J7" s="22">
        <v>97.5</v>
      </c>
      <c r="K7" s="20">
        <f>"102,5113"</f>
        <v>0</v>
      </c>
      <c r="L7" s="20"/>
    </row>
    <row r="9" spans="1:11" ht="16.5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2" ht="14.25">
      <c r="A10" s="16" t="s">
        <v>26</v>
      </c>
      <c r="B10" s="16" t="s">
        <v>27</v>
      </c>
      <c r="C10" s="16" t="s">
        <v>28</v>
      </c>
      <c r="D10" s="16">
        <f>"0,8547"</f>
        <v>0</v>
      </c>
      <c r="E10" s="16" t="s">
        <v>15</v>
      </c>
      <c r="F10" s="16" t="s">
        <v>18</v>
      </c>
      <c r="G10" s="16" t="s">
        <v>29</v>
      </c>
      <c r="H10" s="16" t="s">
        <v>30</v>
      </c>
      <c r="I10" s="18"/>
      <c r="J10" s="19">
        <v>130</v>
      </c>
      <c r="K10" s="16">
        <f>"111,1110"</f>
        <v>0</v>
      </c>
      <c r="L10" s="16" t="s">
        <v>31</v>
      </c>
    </row>
    <row r="11" spans="1:12" ht="14.25">
      <c r="A11" s="20" t="s">
        <v>32</v>
      </c>
      <c r="B11" s="20" t="s">
        <v>33</v>
      </c>
      <c r="C11" s="20" t="s">
        <v>34</v>
      </c>
      <c r="D11" s="20">
        <f>"0,9998"</f>
        <v>0</v>
      </c>
      <c r="E11" s="20" t="s">
        <v>15</v>
      </c>
      <c r="F11" s="20" t="s">
        <v>35</v>
      </c>
      <c r="G11" s="20" t="s">
        <v>30</v>
      </c>
      <c r="H11" s="20" t="s">
        <v>36</v>
      </c>
      <c r="I11" s="21"/>
      <c r="J11" s="22">
        <v>140</v>
      </c>
      <c r="K11" s="20">
        <f>"139,9760"</f>
        <v>0</v>
      </c>
      <c r="L11" s="20"/>
    </row>
    <row r="13" spans="1:11" ht="16.5">
      <c r="A13" s="23" t="s">
        <v>25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2" ht="14.25">
      <c r="A14" s="16" t="s">
        <v>37</v>
      </c>
      <c r="B14" s="16" t="s">
        <v>38</v>
      </c>
      <c r="C14" s="16" t="s">
        <v>39</v>
      </c>
      <c r="D14" s="16">
        <f aca="true" t="shared" si="0" ref="D14:D15">"0,6885"</f>
        <v>0</v>
      </c>
      <c r="E14" s="16" t="s">
        <v>15</v>
      </c>
      <c r="F14" s="16" t="s">
        <v>40</v>
      </c>
      <c r="G14" s="16" t="s">
        <v>41</v>
      </c>
      <c r="H14" s="18" t="s">
        <v>42</v>
      </c>
      <c r="I14" s="18"/>
      <c r="J14" s="19">
        <v>240</v>
      </c>
      <c r="K14" s="16">
        <f>"165,2520"</f>
        <v>0</v>
      </c>
      <c r="L14" s="16" t="s">
        <v>43</v>
      </c>
    </row>
    <row r="15" spans="1:12" ht="14.25">
      <c r="A15" s="24" t="s">
        <v>44</v>
      </c>
      <c r="B15" s="24" t="s">
        <v>45</v>
      </c>
      <c r="C15" s="24" t="s">
        <v>39</v>
      </c>
      <c r="D15" s="24">
        <f t="shared" si="0"/>
        <v>0</v>
      </c>
      <c r="E15" s="24" t="s">
        <v>15</v>
      </c>
      <c r="F15" s="24" t="s">
        <v>46</v>
      </c>
      <c r="G15" s="25" t="s">
        <v>47</v>
      </c>
      <c r="H15" s="25"/>
      <c r="I15" s="25"/>
      <c r="J15" s="26">
        <v>170</v>
      </c>
      <c r="K15" s="24">
        <f>"117,0535"</f>
        <v>0</v>
      </c>
      <c r="L15" s="24"/>
    </row>
    <row r="16" spans="1:12" ht="14.25">
      <c r="A16" s="20" t="s">
        <v>44</v>
      </c>
      <c r="B16" s="20" t="s">
        <v>48</v>
      </c>
      <c r="C16" s="20" t="s">
        <v>39</v>
      </c>
      <c r="D16" s="20">
        <f>"0,8152"</f>
        <v>0</v>
      </c>
      <c r="E16" s="20" t="s">
        <v>15</v>
      </c>
      <c r="F16" s="20" t="s">
        <v>46</v>
      </c>
      <c r="G16" s="21" t="s">
        <v>47</v>
      </c>
      <c r="H16" s="21"/>
      <c r="I16" s="21"/>
      <c r="J16" s="22">
        <v>170</v>
      </c>
      <c r="K16" s="20">
        <f>"138,5913"</f>
        <v>0</v>
      </c>
      <c r="L16" s="20"/>
    </row>
    <row r="18" spans="1:11" ht="16.5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2" ht="14.25">
      <c r="A19" s="16" t="s">
        <v>50</v>
      </c>
      <c r="B19" s="16" t="s">
        <v>51</v>
      </c>
      <c r="C19" s="16" t="s">
        <v>52</v>
      </c>
      <c r="D19" s="16">
        <f>"0,6694"</f>
        <v>0</v>
      </c>
      <c r="E19" s="16" t="s">
        <v>53</v>
      </c>
      <c r="F19" s="16" t="s">
        <v>30</v>
      </c>
      <c r="G19" s="16" t="s">
        <v>54</v>
      </c>
      <c r="H19" s="18" t="s">
        <v>46</v>
      </c>
      <c r="I19" s="18"/>
      <c r="J19" s="19">
        <v>150</v>
      </c>
      <c r="K19" s="16">
        <f>"100,4025"</f>
        <v>0</v>
      </c>
      <c r="L19" s="16"/>
    </row>
    <row r="20" spans="1:12" ht="14.25">
      <c r="A20" s="24" t="s">
        <v>55</v>
      </c>
      <c r="B20" s="24" t="s">
        <v>56</v>
      </c>
      <c r="C20" s="24" t="s">
        <v>57</v>
      </c>
      <c r="D20" s="24">
        <f>"0,6819"</f>
        <v>0</v>
      </c>
      <c r="E20" s="24" t="s">
        <v>58</v>
      </c>
      <c r="F20" s="25" t="s">
        <v>30</v>
      </c>
      <c r="G20" s="24" t="s">
        <v>30</v>
      </c>
      <c r="H20" s="24" t="s">
        <v>46</v>
      </c>
      <c r="I20" s="25"/>
      <c r="J20" s="26">
        <v>170</v>
      </c>
      <c r="K20" s="24">
        <f>"115,9230"</f>
        <v>0</v>
      </c>
      <c r="L20" s="24"/>
    </row>
    <row r="21" spans="1:12" ht="14.25">
      <c r="A21" s="20" t="s">
        <v>59</v>
      </c>
      <c r="B21" s="20" t="s">
        <v>60</v>
      </c>
      <c r="C21" s="20" t="s">
        <v>61</v>
      </c>
      <c r="D21" s="20">
        <f>"0,9189"</f>
        <v>0</v>
      </c>
      <c r="E21" s="20" t="s">
        <v>15</v>
      </c>
      <c r="F21" s="20" t="s">
        <v>62</v>
      </c>
      <c r="G21" s="20" t="s">
        <v>54</v>
      </c>
      <c r="H21" s="21"/>
      <c r="I21" s="21"/>
      <c r="J21" s="22">
        <v>150</v>
      </c>
      <c r="K21" s="20">
        <f>"137,8335"</f>
        <v>0</v>
      </c>
      <c r="L21" s="20"/>
    </row>
    <row r="23" spans="1:11" ht="16.5">
      <c r="A23" s="23" t="s">
        <v>63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2" ht="14.25">
      <c r="A24" s="27" t="s">
        <v>64</v>
      </c>
      <c r="B24" s="27" t="s">
        <v>65</v>
      </c>
      <c r="C24" s="27" t="s">
        <v>66</v>
      </c>
      <c r="D24" s="27">
        <f>"0,6192"</f>
        <v>0</v>
      </c>
      <c r="E24" s="27" t="s">
        <v>67</v>
      </c>
      <c r="F24" s="27" t="s">
        <v>41</v>
      </c>
      <c r="G24" s="28" t="s">
        <v>68</v>
      </c>
      <c r="H24" s="28"/>
      <c r="I24" s="28"/>
      <c r="J24" s="29">
        <v>240</v>
      </c>
      <c r="K24" s="27">
        <f>"148,6200"</f>
        <v>0</v>
      </c>
      <c r="L24" s="27"/>
    </row>
    <row r="26" spans="1:11" ht="16.5">
      <c r="A26" s="23" t="s">
        <v>69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2" ht="14.25">
      <c r="A27" s="16" t="s">
        <v>70</v>
      </c>
      <c r="B27" s="16" t="s">
        <v>71</v>
      </c>
      <c r="C27" s="16" t="s">
        <v>72</v>
      </c>
      <c r="D27" s="16">
        <f>"0,5850"</f>
        <v>0</v>
      </c>
      <c r="E27" s="16" t="s">
        <v>15</v>
      </c>
      <c r="F27" s="16" t="s">
        <v>73</v>
      </c>
      <c r="G27" s="16" t="s">
        <v>74</v>
      </c>
      <c r="H27" s="18" t="s">
        <v>40</v>
      </c>
      <c r="I27" s="18"/>
      <c r="J27" s="19">
        <v>215</v>
      </c>
      <c r="K27" s="16">
        <f>"125,7857"</f>
        <v>0</v>
      </c>
      <c r="L27" s="16"/>
    </row>
    <row r="28" spans="1:12" ht="14.25">
      <c r="A28" s="24" t="s">
        <v>75</v>
      </c>
      <c r="B28" s="24" t="s">
        <v>76</v>
      </c>
      <c r="C28" s="24" t="s">
        <v>77</v>
      </c>
      <c r="D28" s="24">
        <f>"0,5997"</f>
        <v>0</v>
      </c>
      <c r="E28" s="24" t="s">
        <v>53</v>
      </c>
      <c r="F28" s="24" t="s">
        <v>78</v>
      </c>
      <c r="G28" s="24" t="s">
        <v>42</v>
      </c>
      <c r="H28" s="25" t="s">
        <v>79</v>
      </c>
      <c r="I28" s="25"/>
      <c r="J28" s="26">
        <v>250</v>
      </c>
      <c r="K28" s="24">
        <f>"149,9125"</f>
        <v>0</v>
      </c>
      <c r="L28" s="24"/>
    </row>
    <row r="29" spans="1:12" ht="14.25">
      <c r="A29" s="24" t="s">
        <v>80</v>
      </c>
      <c r="B29" s="24" t="s">
        <v>81</v>
      </c>
      <c r="C29" s="24" t="s">
        <v>82</v>
      </c>
      <c r="D29" s="24">
        <f>"0,7677"</f>
        <v>0</v>
      </c>
      <c r="E29" s="24" t="s">
        <v>15</v>
      </c>
      <c r="F29" s="24" t="s">
        <v>40</v>
      </c>
      <c r="G29" s="24" t="s">
        <v>83</v>
      </c>
      <c r="H29" s="25"/>
      <c r="I29" s="25"/>
      <c r="J29" s="26">
        <v>225</v>
      </c>
      <c r="K29" s="24">
        <f>"172,7318"</f>
        <v>0</v>
      </c>
      <c r="L29" s="24"/>
    </row>
    <row r="30" spans="1:12" ht="14.25">
      <c r="A30" s="24" t="s">
        <v>84</v>
      </c>
      <c r="B30" s="24" t="s">
        <v>85</v>
      </c>
      <c r="C30" s="24" t="s">
        <v>86</v>
      </c>
      <c r="D30" s="24">
        <f>"0,7941"</f>
        <v>0</v>
      </c>
      <c r="E30" s="24" t="s">
        <v>15</v>
      </c>
      <c r="F30" s="24" t="s">
        <v>87</v>
      </c>
      <c r="G30" s="24" t="s">
        <v>73</v>
      </c>
      <c r="H30" s="24" t="s">
        <v>88</v>
      </c>
      <c r="I30" s="25"/>
      <c r="J30" s="26">
        <v>210</v>
      </c>
      <c r="K30" s="24">
        <f>"166,7517"</f>
        <v>0</v>
      </c>
      <c r="L30" s="24"/>
    </row>
    <row r="31" spans="1:12" ht="14.25">
      <c r="A31" s="20" t="s">
        <v>89</v>
      </c>
      <c r="B31" s="20" t="s">
        <v>90</v>
      </c>
      <c r="C31" s="20" t="s">
        <v>91</v>
      </c>
      <c r="D31" s="20">
        <f>"0,7879"</f>
        <v>0</v>
      </c>
      <c r="E31" s="20" t="s">
        <v>15</v>
      </c>
      <c r="F31" s="20" t="s">
        <v>54</v>
      </c>
      <c r="G31" s="20" t="s">
        <v>92</v>
      </c>
      <c r="H31" s="21" t="s">
        <v>93</v>
      </c>
      <c r="I31" s="21"/>
      <c r="J31" s="22">
        <v>165</v>
      </c>
      <c r="K31" s="20">
        <f>"130,0068"</f>
        <v>0</v>
      </c>
      <c r="L31" s="20"/>
    </row>
    <row r="33" spans="1:11" ht="16.5">
      <c r="A33" s="23" t="s">
        <v>94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2" ht="14.25">
      <c r="A34" s="16" t="s">
        <v>95</v>
      </c>
      <c r="B34" s="16" t="s">
        <v>96</v>
      </c>
      <c r="C34" s="16" t="s">
        <v>97</v>
      </c>
      <c r="D34" s="16">
        <f>"0,5701"</f>
        <v>0</v>
      </c>
      <c r="E34" s="16" t="s">
        <v>15</v>
      </c>
      <c r="F34" s="16" t="s">
        <v>98</v>
      </c>
      <c r="G34" s="18" t="s">
        <v>99</v>
      </c>
      <c r="H34" s="16" t="s">
        <v>100</v>
      </c>
      <c r="I34" s="18"/>
      <c r="J34" s="19">
        <v>335</v>
      </c>
      <c r="K34" s="16">
        <f>"190,9835"</f>
        <v>0</v>
      </c>
      <c r="L34" s="16"/>
    </row>
    <row r="35" spans="1:12" ht="14.25">
      <c r="A35" s="24" t="s">
        <v>101</v>
      </c>
      <c r="B35" s="24" t="s">
        <v>102</v>
      </c>
      <c r="C35" s="24" t="s">
        <v>103</v>
      </c>
      <c r="D35" s="24">
        <f>"0,5642"</f>
        <v>0</v>
      </c>
      <c r="E35" s="24" t="s">
        <v>15</v>
      </c>
      <c r="F35" s="24" t="s">
        <v>104</v>
      </c>
      <c r="G35" s="25" t="s">
        <v>105</v>
      </c>
      <c r="H35" s="24" t="s">
        <v>106</v>
      </c>
      <c r="I35" s="25"/>
      <c r="J35" s="26">
        <v>307.5</v>
      </c>
      <c r="K35" s="24">
        <f>"173,5069"</f>
        <v>0</v>
      </c>
      <c r="L35" s="24"/>
    </row>
    <row r="36" spans="1:12" ht="14.25">
      <c r="A36" s="24" t="s">
        <v>107</v>
      </c>
      <c r="B36" s="24" t="s">
        <v>108</v>
      </c>
      <c r="C36" s="24" t="s">
        <v>109</v>
      </c>
      <c r="D36" s="24">
        <f>"0,5724"</f>
        <v>0</v>
      </c>
      <c r="E36" s="24" t="s">
        <v>67</v>
      </c>
      <c r="F36" s="24" t="s">
        <v>42</v>
      </c>
      <c r="G36" s="24" t="s">
        <v>110</v>
      </c>
      <c r="H36" s="25" t="s">
        <v>98</v>
      </c>
      <c r="I36" s="25"/>
      <c r="J36" s="26">
        <v>292.5</v>
      </c>
      <c r="K36" s="24">
        <f>"167,4270"</f>
        <v>0</v>
      </c>
      <c r="L36" s="24"/>
    </row>
    <row r="37" spans="1:12" ht="14.25">
      <c r="A37" s="24" t="s">
        <v>95</v>
      </c>
      <c r="B37" s="24" t="s">
        <v>111</v>
      </c>
      <c r="C37" s="24" t="s">
        <v>97</v>
      </c>
      <c r="D37" s="24">
        <f>"0,6015"</f>
        <v>0</v>
      </c>
      <c r="E37" s="24" t="s">
        <v>15</v>
      </c>
      <c r="F37" s="24" t="s">
        <v>98</v>
      </c>
      <c r="G37" s="25" t="s">
        <v>99</v>
      </c>
      <c r="H37" s="24" t="s">
        <v>100</v>
      </c>
      <c r="I37" s="25"/>
      <c r="J37" s="26">
        <v>335</v>
      </c>
      <c r="K37" s="24">
        <f>"201,4876"</f>
        <v>0</v>
      </c>
      <c r="L37" s="24"/>
    </row>
    <row r="38" spans="1:12" ht="14.25">
      <c r="A38" s="24" t="s">
        <v>112</v>
      </c>
      <c r="B38" s="24" t="s">
        <v>113</v>
      </c>
      <c r="C38" s="24" t="s">
        <v>114</v>
      </c>
      <c r="D38" s="24">
        <f>"0,5951"</f>
        <v>0</v>
      </c>
      <c r="E38" s="24" t="s">
        <v>15</v>
      </c>
      <c r="F38" s="24" t="s">
        <v>41</v>
      </c>
      <c r="G38" s="25" t="s">
        <v>42</v>
      </c>
      <c r="H38" s="25" t="s">
        <v>42</v>
      </c>
      <c r="I38" s="25"/>
      <c r="J38" s="26" t="s">
        <v>115</v>
      </c>
      <c r="K38" s="24" t="s">
        <v>116</v>
      </c>
      <c r="L38" s="24"/>
    </row>
    <row r="39" spans="1:12" ht="14.25">
      <c r="A39" s="24" t="s">
        <v>117</v>
      </c>
      <c r="B39" s="24" t="s">
        <v>118</v>
      </c>
      <c r="C39" s="24" t="s">
        <v>119</v>
      </c>
      <c r="D39" s="24">
        <f>"0,6294"</f>
        <v>0</v>
      </c>
      <c r="E39" s="24" t="s">
        <v>15</v>
      </c>
      <c r="F39" s="24" t="s">
        <v>120</v>
      </c>
      <c r="G39" s="24" t="s">
        <v>92</v>
      </c>
      <c r="H39" s="25" t="s">
        <v>46</v>
      </c>
      <c r="I39" s="25"/>
      <c r="J39" s="26">
        <v>165</v>
      </c>
      <c r="K39" s="24">
        <f>"103,8512"</f>
        <v>0</v>
      </c>
      <c r="L39" s="24" t="s">
        <v>37</v>
      </c>
    </row>
    <row r="40" spans="1:12" ht="14.25">
      <c r="A40" s="24" t="s">
        <v>121</v>
      </c>
      <c r="B40" s="24" t="s">
        <v>122</v>
      </c>
      <c r="C40" s="24" t="s">
        <v>123</v>
      </c>
      <c r="D40" s="24">
        <f>"0,6916"</f>
        <v>0</v>
      </c>
      <c r="E40" s="24" t="s">
        <v>15</v>
      </c>
      <c r="F40" s="24" t="s">
        <v>47</v>
      </c>
      <c r="G40" s="24" t="s">
        <v>87</v>
      </c>
      <c r="H40" s="25" t="s">
        <v>40</v>
      </c>
      <c r="I40" s="25"/>
      <c r="J40" s="26">
        <v>200</v>
      </c>
      <c r="K40" s="24">
        <f>"138,3147"</f>
        <v>0</v>
      </c>
      <c r="L40" s="24"/>
    </row>
    <row r="41" spans="1:12" ht="14.25">
      <c r="A41" s="20" t="s">
        <v>124</v>
      </c>
      <c r="B41" s="20" t="s">
        <v>125</v>
      </c>
      <c r="C41" s="20" t="s">
        <v>126</v>
      </c>
      <c r="D41" s="20">
        <f>"0,8408"</f>
        <v>0</v>
      </c>
      <c r="E41" s="20" t="s">
        <v>15</v>
      </c>
      <c r="F41" s="20" t="s">
        <v>78</v>
      </c>
      <c r="G41" s="20" t="s">
        <v>41</v>
      </c>
      <c r="H41" s="21" t="s">
        <v>42</v>
      </c>
      <c r="I41" s="21"/>
      <c r="J41" s="22">
        <v>240</v>
      </c>
      <c r="K41" s="20">
        <f>"201,7891"</f>
        <v>0</v>
      </c>
      <c r="L41" s="20"/>
    </row>
    <row r="43" spans="1:11" ht="16.5">
      <c r="A43" s="23" t="s">
        <v>127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2" ht="14.25">
      <c r="A44" s="16" t="s">
        <v>128</v>
      </c>
      <c r="B44" s="16" t="s">
        <v>129</v>
      </c>
      <c r="C44" s="16" t="s">
        <v>130</v>
      </c>
      <c r="D44" s="16">
        <f>"0,5566"</f>
        <v>0</v>
      </c>
      <c r="E44" s="16" t="s">
        <v>15</v>
      </c>
      <c r="F44" s="16" t="s">
        <v>47</v>
      </c>
      <c r="G44" s="16" t="s">
        <v>131</v>
      </c>
      <c r="H44" s="16" t="s">
        <v>87</v>
      </c>
      <c r="I44" s="18"/>
      <c r="J44" s="19">
        <v>200</v>
      </c>
      <c r="K44" s="16">
        <f>"111,3300"</f>
        <v>0</v>
      </c>
      <c r="L44" s="16"/>
    </row>
    <row r="45" spans="1:12" ht="14.25">
      <c r="A45" s="20" t="s">
        <v>132</v>
      </c>
      <c r="B45" s="20" t="s">
        <v>133</v>
      </c>
      <c r="C45" s="20" t="s">
        <v>134</v>
      </c>
      <c r="D45" s="20">
        <f>"0,5595"</f>
        <v>0</v>
      </c>
      <c r="E45" s="20" t="s">
        <v>67</v>
      </c>
      <c r="F45" s="20" t="s">
        <v>78</v>
      </c>
      <c r="G45" s="21"/>
      <c r="H45" s="21"/>
      <c r="I45" s="21"/>
      <c r="J45" s="22">
        <v>230</v>
      </c>
      <c r="K45" s="20">
        <f>"128,6850"</f>
        <v>0</v>
      </c>
      <c r="L45" s="20"/>
    </row>
    <row r="47" spans="1:11" ht="16.5">
      <c r="A47" s="23" t="s">
        <v>135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2" ht="14.25">
      <c r="A48" s="27" t="s">
        <v>136</v>
      </c>
      <c r="B48" s="27" t="s">
        <v>137</v>
      </c>
      <c r="C48" s="27" t="s">
        <v>138</v>
      </c>
      <c r="D48" s="27">
        <f>"0,5362"</f>
        <v>0</v>
      </c>
      <c r="E48" s="27" t="s">
        <v>15</v>
      </c>
      <c r="F48" s="27" t="s">
        <v>98</v>
      </c>
      <c r="G48" s="27" t="s">
        <v>139</v>
      </c>
      <c r="H48" s="27" t="s">
        <v>99</v>
      </c>
      <c r="I48" s="28"/>
      <c r="J48" s="29">
        <v>330</v>
      </c>
      <c r="K48" s="27">
        <f>"176,9625"</f>
        <v>0</v>
      </c>
      <c r="L48" s="27"/>
    </row>
    <row r="50" spans="1:11" ht="16.5">
      <c r="A50" s="23" t="s">
        <v>140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2" ht="14.25">
      <c r="A51" s="27" t="s">
        <v>141</v>
      </c>
      <c r="B51" s="27" t="s">
        <v>142</v>
      </c>
      <c r="C51" s="27" t="s">
        <v>143</v>
      </c>
      <c r="D51" s="27">
        <f>"0,6621"</f>
        <v>0</v>
      </c>
      <c r="E51" s="27" t="s">
        <v>15</v>
      </c>
      <c r="F51" s="27" t="s">
        <v>131</v>
      </c>
      <c r="G51" s="27" t="s">
        <v>87</v>
      </c>
      <c r="H51" s="27" t="s">
        <v>88</v>
      </c>
      <c r="I51" s="28"/>
      <c r="J51" s="29">
        <v>210</v>
      </c>
      <c r="K51" s="27">
        <f>"139,0448"</f>
        <v>0</v>
      </c>
      <c r="L51" s="27"/>
    </row>
    <row r="53" ht="16.5">
      <c r="E53" s="30" t="s">
        <v>144</v>
      </c>
    </row>
    <row r="54" ht="16.5">
      <c r="E54" s="30" t="s">
        <v>145</v>
      </c>
    </row>
    <row r="55" ht="16.5">
      <c r="E55" s="30" t="s">
        <v>146</v>
      </c>
    </row>
    <row r="56" ht="14.25">
      <c r="E56" s="1" t="s">
        <v>147</v>
      </c>
    </row>
    <row r="57" ht="14.25">
      <c r="E57" s="1" t="s">
        <v>148</v>
      </c>
    </row>
    <row r="58" ht="14.25">
      <c r="E58" s="1" t="s">
        <v>149</v>
      </c>
    </row>
    <row r="61" spans="1:13" ht="18.75">
      <c r="A61" s="31" t="s">
        <v>150</v>
      </c>
      <c r="B61" s="31"/>
      <c r="M61" s="1"/>
    </row>
    <row r="62" spans="1:13" ht="16.5">
      <c r="A62" s="32" t="s">
        <v>151</v>
      </c>
      <c r="B62" s="32"/>
      <c r="M62" s="1"/>
    </row>
    <row r="63" spans="1:13" ht="15.75">
      <c r="A63" s="33" t="s">
        <v>152</v>
      </c>
      <c r="B63" s="34"/>
      <c r="M63" s="1"/>
    </row>
    <row r="64" spans="1:13" ht="15.75">
      <c r="A64" s="35" t="s">
        <v>1</v>
      </c>
      <c r="B64" s="35" t="s">
        <v>153</v>
      </c>
      <c r="C64" s="35" t="s">
        <v>154</v>
      </c>
      <c r="D64" s="35" t="s">
        <v>7</v>
      </c>
      <c r="E64" s="35" t="s">
        <v>155</v>
      </c>
      <c r="M64" s="1"/>
    </row>
    <row r="65" spans="1:13" ht="14.25">
      <c r="A65" s="36" t="s">
        <v>26</v>
      </c>
      <c r="B65" s="1" t="s">
        <v>152</v>
      </c>
      <c r="C65" s="1" t="s">
        <v>156</v>
      </c>
      <c r="D65" s="1" t="s">
        <v>30</v>
      </c>
      <c r="E65" s="37" t="s">
        <v>157</v>
      </c>
      <c r="M65" s="1"/>
    </row>
    <row r="66" spans="1:13" ht="14.25">
      <c r="A66" s="36" t="s">
        <v>12</v>
      </c>
      <c r="B66" s="1" t="s">
        <v>152</v>
      </c>
      <c r="C66" s="1" t="s">
        <v>158</v>
      </c>
      <c r="D66" s="1" t="s">
        <v>18</v>
      </c>
      <c r="E66" s="37" t="s">
        <v>159</v>
      </c>
      <c r="M66" s="1"/>
    </row>
    <row r="67" ht="14.25">
      <c r="M67" s="1"/>
    </row>
    <row r="68" spans="1:13" ht="15.75">
      <c r="A68" s="33" t="s">
        <v>160</v>
      </c>
      <c r="B68" s="34"/>
      <c r="M68" s="1"/>
    </row>
    <row r="69" spans="1:13" ht="15.75">
      <c r="A69" s="35" t="s">
        <v>1</v>
      </c>
      <c r="B69" s="35" t="s">
        <v>153</v>
      </c>
      <c r="C69" s="35" t="s">
        <v>154</v>
      </c>
      <c r="D69" s="35" t="s">
        <v>7</v>
      </c>
      <c r="E69" s="35" t="s">
        <v>155</v>
      </c>
      <c r="M69" s="1"/>
    </row>
    <row r="70" spans="1:13" ht="14.25">
      <c r="A70" s="36" t="s">
        <v>32</v>
      </c>
      <c r="B70" s="1" t="s">
        <v>161</v>
      </c>
      <c r="C70" s="1" t="s">
        <v>156</v>
      </c>
      <c r="D70" s="1" t="s">
        <v>36</v>
      </c>
      <c r="E70" s="37" t="s">
        <v>162</v>
      </c>
      <c r="M70" s="1"/>
    </row>
    <row r="71" spans="1:13" ht="14.25">
      <c r="A71" s="36" t="s">
        <v>19</v>
      </c>
      <c r="B71" s="1" t="s">
        <v>161</v>
      </c>
      <c r="C71" s="1" t="s">
        <v>158</v>
      </c>
      <c r="D71" s="1" t="s">
        <v>24</v>
      </c>
      <c r="E71" s="37" t="s">
        <v>163</v>
      </c>
      <c r="M71" s="1"/>
    </row>
    <row r="72" ht="14.25">
      <c r="M72" s="1"/>
    </row>
    <row r="73" ht="14.25">
      <c r="M73" s="1"/>
    </row>
    <row r="74" spans="1:13" ht="16.5">
      <c r="A74" s="32" t="s">
        <v>164</v>
      </c>
      <c r="B74" s="32"/>
      <c r="M74" s="1"/>
    </row>
    <row r="75" spans="1:13" ht="15.75">
      <c r="A75" s="33" t="s">
        <v>165</v>
      </c>
      <c r="B75" s="34"/>
      <c r="M75" s="1"/>
    </row>
    <row r="76" spans="1:13" ht="15.75">
      <c r="A76" s="35" t="s">
        <v>1</v>
      </c>
      <c r="B76" s="35" t="s">
        <v>153</v>
      </c>
      <c r="C76" s="35" t="s">
        <v>154</v>
      </c>
      <c r="D76" s="35" t="s">
        <v>7</v>
      </c>
      <c r="E76" s="35" t="s">
        <v>155</v>
      </c>
      <c r="M76" s="1"/>
    </row>
    <row r="77" spans="1:13" ht="14.25">
      <c r="A77" s="36" t="s">
        <v>70</v>
      </c>
      <c r="B77" s="1" t="s">
        <v>166</v>
      </c>
      <c r="C77" s="1" t="s">
        <v>167</v>
      </c>
      <c r="D77" s="1" t="s">
        <v>74</v>
      </c>
      <c r="E77" s="37" t="s">
        <v>168</v>
      </c>
      <c r="M77" s="1"/>
    </row>
    <row r="78" spans="1:13" ht="14.25">
      <c r="A78" s="36" t="s">
        <v>128</v>
      </c>
      <c r="B78" s="1" t="s">
        <v>166</v>
      </c>
      <c r="C78" s="1" t="s">
        <v>169</v>
      </c>
      <c r="D78" s="1" t="s">
        <v>87</v>
      </c>
      <c r="E78" s="37" t="s">
        <v>170</v>
      </c>
      <c r="M78" s="1"/>
    </row>
    <row r="79" spans="1:13" ht="14.25">
      <c r="A79" s="36" t="s">
        <v>50</v>
      </c>
      <c r="B79" s="1" t="s">
        <v>166</v>
      </c>
      <c r="C79" s="1" t="s">
        <v>171</v>
      </c>
      <c r="D79" s="1" t="s">
        <v>54</v>
      </c>
      <c r="E79" s="37" t="s">
        <v>172</v>
      </c>
      <c r="M79" s="1"/>
    </row>
    <row r="80" ht="14.25">
      <c r="M80" s="1"/>
    </row>
    <row r="81" spans="1:13" ht="15.75">
      <c r="A81" s="33" t="s">
        <v>152</v>
      </c>
      <c r="B81" s="34"/>
      <c r="M81" s="1"/>
    </row>
    <row r="82" spans="1:13" ht="15.75">
      <c r="A82" s="35" t="s">
        <v>1</v>
      </c>
      <c r="B82" s="35" t="s">
        <v>153</v>
      </c>
      <c r="C82" s="35" t="s">
        <v>154</v>
      </c>
      <c r="D82" s="35" t="s">
        <v>7</v>
      </c>
      <c r="E82" s="35" t="s">
        <v>155</v>
      </c>
      <c r="M82" s="1"/>
    </row>
    <row r="83" spans="1:13" ht="14.25">
      <c r="A83" s="36" t="s">
        <v>95</v>
      </c>
      <c r="B83" s="1" t="s">
        <v>152</v>
      </c>
      <c r="C83" s="1" t="s">
        <v>173</v>
      </c>
      <c r="D83" s="1" t="s">
        <v>100</v>
      </c>
      <c r="E83" s="37" t="s">
        <v>174</v>
      </c>
      <c r="M83" s="1"/>
    </row>
    <row r="84" spans="1:13" ht="14.25">
      <c r="A84" s="36" t="s">
        <v>136</v>
      </c>
      <c r="B84" s="1" t="s">
        <v>152</v>
      </c>
      <c r="C84" s="1" t="s">
        <v>175</v>
      </c>
      <c r="D84" s="1" t="s">
        <v>99</v>
      </c>
      <c r="E84" s="37" t="s">
        <v>176</v>
      </c>
      <c r="M84" s="1"/>
    </row>
    <row r="85" spans="1:13" ht="14.25">
      <c r="A85" s="36" t="s">
        <v>101</v>
      </c>
      <c r="B85" s="1" t="s">
        <v>152</v>
      </c>
      <c r="C85" s="1" t="s">
        <v>173</v>
      </c>
      <c r="D85" s="1" t="s">
        <v>106</v>
      </c>
      <c r="E85" s="37" t="s">
        <v>177</v>
      </c>
      <c r="M85" s="1"/>
    </row>
    <row r="86" spans="1:13" ht="14.25">
      <c r="A86" s="36" t="s">
        <v>107</v>
      </c>
      <c r="B86" s="1" t="s">
        <v>152</v>
      </c>
      <c r="C86" s="1" t="s">
        <v>173</v>
      </c>
      <c r="D86" s="1" t="s">
        <v>110</v>
      </c>
      <c r="E86" s="37" t="s">
        <v>178</v>
      </c>
      <c r="M86" s="1"/>
    </row>
    <row r="87" spans="1:13" ht="14.25">
      <c r="A87" s="36" t="s">
        <v>37</v>
      </c>
      <c r="B87" s="1" t="s">
        <v>152</v>
      </c>
      <c r="C87" s="1" t="s">
        <v>156</v>
      </c>
      <c r="D87" s="1" t="s">
        <v>41</v>
      </c>
      <c r="E87" s="37" t="s">
        <v>179</v>
      </c>
      <c r="M87" s="1"/>
    </row>
    <row r="88" spans="1:13" ht="14.25">
      <c r="A88" s="36" t="s">
        <v>75</v>
      </c>
      <c r="B88" s="1" t="s">
        <v>152</v>
      </c>
      <c r="C88" s="1" t="s">
        <v>167</v>
      </c>
      <c r="D88" s="1" t="s">
        <v>42</v>
      </c>
      <c r="E88" s="37" t="s">
        <v>180</v>
      </c>
      <c r="M88" s="1"/>
    </row>
    <row r="89" spans="1:13" ht="14.25">
      <c r="A89" s="36" t="s">
        <v>64</v>
      </c>
      <c r="B89" s="1" t="s">
        <v>152</v>
      </c>
      <c r="C89" s="1" t="s">
        <v>181</v>
      </c>
      <c r="D89" s="1" t="s">
        <v>41</v>
      </c>
      <c r="E89" s="37" t="s">
        <v>182</v>
      </c>
      <c r="M89" s="1"/>
    </row>
    <row r="90" spans="1:13" ht="14.25">
      <c r="A90" s="36" t="s">
        <v>132</v>
      </c>
      <c r="B90" s="1" t="s">
        <v>152</v>
      </c>
      <c r="C90" s="1" t="s">
        <v>169</v>
      </c>
      <c r="D90" s="1" t="s">
        <v>78</v>
      </c>
      <c r="E90" s="37" t="s">
        <v>183</v>
      </c>
      <c r="M90" s="1"/>
    </row>
    <row r="91" spans="1:13" ht="14.25">
      <c r="A91" s="36" t="s">
        <v>44</v>
      </c>
      <c r="B91" s="1" t="s">
        <v>152</v>
      </c>
      <c r="C91" s="1" t="s">
        <v>156</v>
      </c>
      <c r="D91" s="1" t="s">
        <v>46</v>
      </c>
      <c r="E91" s="37" t="s">
        <v>184</v>
      </c>
      <c r="M91" s="1"/>
    </row>
    <row r="92" spans="1:13" ht="14.25">
      <c r="A92" s="36" t="s">
        <v>55</v>
      </c>
      <c r="B92" s="1" t="s">
        <v>152</v>
      </c>
      <c r="C92" s="1" t="s">
        <v>171</v>
      </c>
      <c r="D92" s="1" t="s">
        <v>46</v>
      </c>
      <c r="E92" s="37" t="s">
        <v>185</v>
      </c>
      <c r="M92" s="1"/>
    </row>
    <row r="93" ht="14.25">
      <c r="M93" s="1"/>
    </row>
    <row r="94" spans="1:13" ht="15.75">
      <c r="A94" s="33" t="s">
        <v>160</v>
      </c>
      <c r="B94" s="34"/>
      <c r="M94" s="1"/>
    </row>
    <row r="95" spans="1:13" ht="15.75">
      <c r="A95" s="35" t="s">
        <v>1</v>
      </c>
      <c r="B95" s="35" t="s">
        <v>153</v>
      </c>
      <c r="C95" s="35" t="s">
        <v>154</v>
      </c>
      <c r="D95" s="35" t="s">
        <v>7</v>
      </c>
      <c r="E95" s="35" t="s">
        <v>155</v>
      </c>
      <c r="M95" s="1"/>
    </row>
    <row r="96" spans="1:13" ht="14.25">
      <c r="A96" s="36" t="s">
        <v>124</v>
      </c>
      <c r="B96" s="1" t="s">
        <v>186</v>
      </c>
      <c r="C96" s="1" t="s">
        <v>173</v>
      </c>
      <c r="D96" s="1" t="s">
        <v>41</v>
      </c>
      <c r="E96" s="37" t="s">
        <v>187</v>
      </c>
      <c r="M96" s="1"/>
    </row>
    <row r="97" spans="1:13" ht="14.25">
      <c r="A97" s="36" t="s">
        <v>95</v>
      </c>
      <c r="B97" s="1" t="s">
        <v>188</v>
      </c>
      <c r="C97" s="1" t="s">
        <v>173</v>
      </c>
      <c r="D97" s="1" t="s">
        <v>100</v>
      </c>
      <c r="E97" s="37" t="s">
        <v>189</v>
      </c>
      <c r="M97" s="1"/>
    </row>
    <row r="98" spans="1:13" ht="14.25">
      <c r="A98" s="36" t="s">
        <v>80</v>
      </c>
      <c r="B98" s="1" t="s">
        <v>190</v>
      </c>
      <c r="C98" s="1" t="s">
        <v>167</v>
      </c>
      <c r="D98" s="1" t="s">
        <v>83</v>
      </c>
      <c r="E98" s="37" t="s">
        <v>191</v>
      </c>
      <c r="M98" s="1"/>
    </row>
    <row r="99" spans="1:13" ht="14.25">
      <c r="A99" s="36" t="s">
        <v>84</v>
      </c>
      <c r="B99" s="1" t="s">
        <v>192</v>
      </c>
      <c r="C99" s="1" t="s">
        <v>167</v>
      </c>
      <c r="D99" s="1" t="s">
        <v>88</v>
      </c>
      <c r="E99" s="37" t="s">
        <v>193</v>
      </c>
      <c r="M99" s="1"/>
    </row>
    <row r="100" spans="1:13" ht="14.25">
      <c r="A100" s="36" t="s">
        <v>141</v>
      </c>
      <c r="B100" s="1" t="s">
        <v>190</v>
      </c>
      <c r="C100" s="1" t="s">
        <v>194</v>
      </c>
      <c r="D100" s="1" t="s">
        <v>88</v>
      </c>
      <c r="E100" s="37" t="s">
        <v>195</v>
      </c>
      <c r="M100" s="1"/>
    </row>
    <row r="101" spans="1:13" ht="14.25">
      <c r="A101" s="36" t="s">
        <v>44</v>
      </c>
      <c r="B101" s="1" t="s">
        <v>161</v>
      </c>
      <c r="C101" s="1" t="s">
        <v>156</v>
      </c>
      <c r="D101" s="1" t="s">
        <v>46</v>
      </c>
      <c r="E101" s="37" t="s">
        <v>196</v>
      </c>
      <c r="M101" s="1"/>
    </row>
    <row r="102" spans="1:13" ht="14.25">
      <c r="A102" s="36" t="s">
        <v>121</v>
      </c>
      <c r="B102" s="1" t="s">
        <v>190</v>
      </c>
      <c r="C102" s="1" t="s">
        <v>173</v>
      </c>
      <c r="D102" s="1" t="s">
        <v>87</v>
      </c>
      <c r="E102" s="37" t="s">
        <v>197</v>
      </c>
      <c r="M102" s="1"/>
    </row>
    <row r="103" spans="1:13" ht="14.25">
      <c r="A103" s="36" t="s">
        <v>59</v>
      </c>
      <c r="B103" s="1" t="s">
        <v>192</v>
      </c>
      <c r="C103" s="1" t="s">
        <v>171</v>
      </c>
      <c r="D103" s="1" t="s">
        <v>54</v>
      </c>
      <c r="E103" s="37" t="s">
        <v>198</v>
      </c>
      <c r="M103" s="1"/>
    </row>
    <row r="104" spans="1:13" ht="14.25">
      <c r="A104" s="36" t="s">
        <v>89</v>
      </c>
      <c r="B104" s="1" t="s">
        <v>192</v>
      </c>
      <c r="C104" s="1" t="s">
        <v>167</v>
      </c>
      <c r="D104" s="1" t="s">
        <v>92</v>
      </c>
      <c r="E104" s="37" t="s">
        <v>199</v>
      </c>
      <c r="M104" s="1"/>
    </row>
    <row r="105" spans="1:13" ht="14.25">
      <c r="A105" s="36" t="s">
        <v>117</v>
      </c>
      <c r="B105" s="1" t="s">
        <v>188</v>
      </c>
      <c r="C105" s="1" t="s">
        <v>173</v>
      </c>
      <c r="D105" s="1" t="s">
        <v>92</v>
      </c>
      <c r="E105" s="37" t="s">
        <v>200</v>
      </c>
      <c r="M105" s="1"/>
    </row>
  </sheetData>
  <sheetProtection selectLockedCells="1" selectUnlockedCells="1"/>
  <mergeCells count="20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9:K9"/>
    <mergeCell ref="A13:K13"/>
    <mergeCell ref="A18:K18"/>
    <mergeCell ref="A23:K23"/>
    <mergeCell ref="A26:K26"/>
    <mergeCell ref="A33:K33"/>
    <mergeCell ref="A43:K43"/>
    <mergeCell ref="A47:K47"/>
    <mergeCell ref="A50:K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7"/>
  <sheetViews>
    <sheetView workbookViewId="0" topLeftCell="A9">
      <selection activeCell="R1" sqref="R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8" width="5.50390625" style="1" customWidth="1"/>
    <col min="9" max="9" width="4.50390625" style="1" customWidth="1"/>
    <col min="10" max="12" width="5.50390625" style="1" customWidth="1"/>
    <col min="13" max="13" width="4.50390625" style="1" customWidth="1"/>
    <col min="14" max="17" width="5.50390625" style="1" customWidth="1"/>
    <col min="18" max="18" width="6.375" style="2" customWidth="1"/>
    <col min="19" max="19" width="8.50390625" style="1" customWidth="1"/>
    <col min="20" max="20" width="18.00390625" style="1" customWidth="1"/>
  </cols>
  <sheetData>
    <row r="1" spans="1:20" s="4" customFormat="1" ht="15" customHeight="1">
      <c r="A1" s="3" t="s">
        <v>1428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6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1337</v>
      </c>
      <c r="G3" s="8"/>
      <c r="H3" s="8"/>
      <c r="I3" s="8"/>
      <c r="J3" s="8" t="s">
        <v>6</v>
      </c>
      <c r="K3" s="8"/>
      <c r="L3" s="8"/>
      <c r="M3" s="8"/>
      <c r="N3" s="8" t="s">
        <v>993</v>
      </c>
      <c r="O3" s="8"/>
      <c r="P3" s="8"/>
      <c r="Q3" s="8"/>
      <c r="R3" s="9" t="s">
        <v>7</v>
      </c>
      <c r="S3" s="7" t="s">
        <v>8</v>
      </c>
      <c r="T3" s="10" t="s">
        <v>9</v>
      </c>
    </row>
    <row r="4" spans="1:20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12">
        <v>1</v>
      </c>
      <c r="K4" s="13">
        <v>2</v>
      </c>
      <c r="L4" s="13">
        <v>3</v>
      </c>
      <c r="M4" s="14" t="s">
        <v>10</v>
      </c>
      <c r="N4" s="12">
        <v>1</v>
      </c>
      <c r="O4" s="13">
        <v>2</v>
      </c>
      <c r="P4" s="13">
        <v>3</v>
      </c>
      <c r="Q4" s="14" t="s">
        <v>10</v>
      </c>
      <c r="R4" s="9"/>
      <c r="S4" s="7"/>
      <c r="T4" s="10"/>
    </row>
    <row r="5" spans="1:19" ht="16.5">
      <c r="A5" s="15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0" ht="14.25">
      <c r="A6" s="27" t="s">
        <v>1429</v>
      </c>
      <c r="B6" s="27" t="s">
        <v>1430</v>
      </c>
      <c r="C6" s="27" t="s">
        <v>1026</v>
      </c>
      <c r="D6" s="27">
        <f>"0,7189"</f>
        <v>0</v>
      </c>
      <c r="E6" s="27" t="s">
        <v>15</v>
      </c>
      <c r="F6" s="27" t="s">
        <v>131</v>
      </c>
      <c r="G6" s="28" t="s">
        <v>87</v>
      </c>
      <c r="H6" s="28" t="s">
        <v>87</v>
      </c>
      <c r="I6" s="28"/>
      <c r="J6" s="27"/>
      <c r="K6" s="27" t="s">
        <v>18</v>
      </c>
      <c r="L6" s="27" t="s">
        <v>29</v>
      </c>
      <c r="M6" s="28"/>
      <c r="N6" s="27" t="s">
        <v>47</v>
      </c>
      <c r="O6" s="27" t="s">
        <v>131</v>
      </c>
      <c r="P6" s="27" t="s">
        <v>87</v>
      </c>
      <c r="Q6" s="28"/>
      <c r="R6" s="29">
        <v>510</v>
      </c>
      <c r="S6" s="27">
        <f>"366,6135"</f>
        <v>0</v>
      </c>
      <c r="T6" s="27"/>
    </row>
    <row r="8" spans="1:19" ht="16.5">
      <c r="A8" s="23" t="s">
        <v>49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20" ht="14.25">
      <c r="A9" s="27" t="s">
        <v>1431</v>
      </c>
      <c r="B9" s="27" t="s">
        <v>1314</v>
      </c>
      <c r="C9" s="27" t="s">
        <v>671</v>
      </c>
      <c r="D9" s="27">
        <f>"0,7913"</f>
        <v>0</v>
      </c>
      <c r="E9" s="27" t="s">
        <v>211</v>
      </c>
      <c r="F9" s="27" t="s">
        <v>40</v>
      </c>
      <c r="G9" s="28" t="s">
        <v>316</v>
      </c>
      <c r="H9" s="27" t="s">
        <v>316</v>
      </c>
      <c r="I9" s="28"/>
      <c r="J9" s="28" t="s">
        <v>1356</v>
      </c>
      <c r="K9" s="27" t="s">
        <v>1226</v>
      </c>
      <c r="L9" s="28" t="s">
        <v>30</v>
      </c>
      <c r="M9" s="28"/>
      <c r="N9" s="27" t="s">
        <v>54</v>
      </c>
      <c r="O9" s="27" t="s">
        <v>46</v>
      </c>
      <c r="P9" s="27" t="s">
        <v>812</v>
      </c>
      <c r="Q9" s="28" t="s">
        <v>1432</v>
      </c>
      <c r="R9" s="29">
        <v>545</v>
      </c>
      <c r="S9" s="27">
        <f>"431,2585"</f>
        <v>0</v>
      </c>
      <c r="T9" s="27"/>
    </row>
    <row r="11" spans="1:19" ht="16.5">
      <c r="A11" s="23" t="s">
        <v>213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20" ht="14.25">
      <c r="A12" s="27" t="s">
        <v>214</v>
      </c>
      <c r="B12" s="27" t="s">
        <v>215</v>
      </c>
      <c r="C12" s="27" t="s">
        <v>1433</v>
      </c>
      <c r="D12" s="27">
        <f>"1,0122"</f>
        <v>0</v>
      </c>
      <c r="E12" s="27" t="s">
        <v>15</v>
      </c>
      <c r="F12" s="28" t="s">
        <v>93</v>
      </c>
      <c r="G12" s="27" t="s">
        <v>47</v>
      </c>
      <c r="H12" s="27" t="s">
        <v>131</v>
      </c>
      <c r="I12" s="28"/>
      <c r="J12" s="27" t="s">
        <v>1434</v>
      </c>
      <c r="K12" s="27" t="s">
        <v>555</v>
      </c>
      <c r="L12" s="27" t="s">
        <v>1356</v>
      </c>
      <c r="M12" s="28"/>
      <c r="N12" s="27" t="s">
        <v>175</v>
      </c>
      <c r="O12" s="27" t="s">
        <v>246</v>
      </c>
      <c r="P12" s="27" t="s">
        <v>312</v>
      </c>
      <c r="Q12" s="28"/>
      <c r="R12" s="29">
        <v>475</v>
      </c>
      <c r="S12" s="27">
        <f>"480,7950"</f>
        <v>0</v>
      </c>
      <c r="T12" s="27"/>
    </row>
    <row r="14" spans="1:19" ht="16.5">
      <c r="A14" s="23" t="s">
        <v>11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20" ht="14.25">
      <c r="A15" s="27" t="s">
        <v>1435</v>
      </c>
      <c r="B15" s="27" t="s">
        <v>1436</v>
      </c>
      <c r="C15" s="27" t="s">
        <v>1437</v>
      </c>
      <c r="D15" s="27">
        <f>"0,7630"</f>
        <v>0</v>
      </c>
      <c r="E15" s="27" t="s">
        <v>15</v>
      </c>
      <c r="F15" s="27" t="s">
        <v>87</v>
      </c>
      <c r="G15" s="28" t="s">
        <v>74</v>
      </c>
      <c r="H15" s="28" t="s">
        <v>40</v>
      </c>
      <c r="I15" s="28"/>
      <c r="J15" s="27" t="s">
        <v>29</v>
      </c>
      <c r="K15" s="27" t="s">
        <v>35</v>
      </c>
      <c r="L15" s="28" t="s">
        <v>30</v>
      </c>
      <c r="M15" s="28"/>
      <c r="N15" s="27" t="s">
        <v>1438</v>
      </c>
      <c r="O15" s="27" t="s">
        <v>47</v>
      </c>
      <c r="P15" s="27" t="s">
        <v>131</v>
      </c>
      <c r="Q15" s="28"/>
      <c r="R15" s="29">
        <v>315</v>
      </c>
      <c r="S15" s="27">
        <f>"240,3450"</f>
        <v>0</v>
      </c>
      <c r="T15" s="27"/>
    </row>
    <row r="17" spans="1:19" ht="16.5">
      <c r="A17" s="23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20" ht="14.25">
      <c r="A18" s="16" t="s">
        <v>1439</v>
      </c>
      <c r="B18" s="16" t="s">
        <v>1440</v>
      </c>
      <c r="C18" s="16" t="s">
        <v>561</v>
      </c>
      <c r="D18" s="16">
        <f>"0,6892"</f>
        <v>0</v>
      </c>
      <c r="E18" s="16" t="s">
        <v>15</v>
      </c>
      <c r="F18" s="18" t="s">
        <v>68</v>
      </c>
      <c r="G18" s="16" t="s">
        <v>68</v>
      </c>
      <c r="H18" s="16" t="s">
        <v>333</v>
      </c>
      <c r="I18" s="18"/>
      <c r="J18" s="16" t="s">
        <v>54</v>
      </c>
      <c r="K18" s="16" t="s">
        <v>486</v>
      </c>
      <c r="L18" s="16" t="s">
        <v>46</v>
      </c>
      <c r="M18" s="18"/>
      <c r="N18" s="16" t="s">
        <v>115</v>
      </c>
      <c r="O18" s="18" t="s">
        <v>68</v>
      </c>
      <c r="P18" s="16" t="s">
        <v>68</v>
      </c>
      <c r="Q18" s="18"/>
      <c r="R18" s="19">
        <v>710</v>
      </c>
      <c r="S18" s="16">
        <f>"489,3320"</f>
        <v>0</v>
      </c>
      <c r="T18" s="16"/>
    </row>
    <row r="19" spans="1:20" ht="14.25">
      <c r="A19" s="24" t="s">
        <v>1441</v>
      </c>
      <c r="B19" s="24" t="s">
        <v>1442</v>
      </c>
      <c r="C19" s="24" t="s">
        <v>1443</v>
      </c>
      <c r="D19" s="24">
        <f>"0,6913"</f>
        <v>0</v>
      </c>
      <c r="E19" s="24" t="s">
        <v>15</v>
      </c>
      <c r="F19" s="20" t="s">
        <v>87</v>
      </c>
      <c r="G19" s="21" t="s">
        <v>88</v>
      </c>
      <c r="H19" s="20" t="s">
        <v>88</v>
      </c>
      <c r="I19" s="21"/>
      <c r="J19" s="20" t="s">
        <v>54</v>
      </c>
      <c r="K19" s="21" t="s">
        <v>349</v>
      </c>
      <c r="L19" s="21"/>
      <c r="M19" s="21"/>
      <c r="N19" s="20" t="s">
        <v>40</v>
      </c>
      <c r="O19" s="20" t="s">
        <v>78</v>
      </c>
      <c r="P19" s="20" t="s">
        <v>41</v>
      </c>
      <c r="Q19" s="21"/>
      <c r="R19" s="22">
        <v>600</v>
      </c>
      <c r="S19" s="24" t="s">
        <v>1444</v>
      </c>
      <c r="T19" s="24"/>
    </row>
    <row r="20" spans="1:20" ht="14.25">
      <c r="A20" s="24" t="s">
        <v>37</v>
      </c>
      <c r="B20" s="24" t="s">
        <v>38</v>
      </c>
      <c r="C20" s="24" t="s">
        <v>39</v>
      </c>
      <c r="D20" s="24">
        <f>"0,6885"</f>
        <v>0</v>
      </c>
      <c r="E20" s="24" t="s">
        <v>15</v>
      </c>
      <c r="F20" s="24" t="s">
        <v>283</v>
      </c>
      <c r="G20" s="25" t="s">
        <v>104</v>
      </c>
      <c r="H20" s="25" t="s">
        <v>353</v>
      </c>
      <c r="I20" s="25"/>
      <c r="J20" s="25" t="s">
        <v>294</v>
      </c>
      <c r="K20" s="25" t="s">
        <v>294</v>
      </c>
      <c r="L20" s="25" t="s">
        <v>294</v>
      </c>
      <c r="M20" s="25"/>
      <c r="N20" s="25"/>
      <c r="O20" s="25"/>
      <c r="P20" s="25"/>
      <c r="Q20" s="25"/>
      <c r="R20" s="26">
        <v>0</v>
      </c>
      <c r="S20" s="24">
        <f>"0,0000"</f>
        <v>0</v>
      </c>
      <c r="T20" s="24" t="s">
        <v>1445</v>
      </c>
    </row>
    <row r="21" spans="1:20" ht="14.25">
      <c r="A21" s="20" t="s">
        <v>1441</v>
      </c>
      <c r="B21" s="20" t="s">
        <v>1446</v>
      </c>
      <c r="C21" s="20" t="s">
        <v>1443</v>
      </c>
      <c r="D21" s="20">
        <f>"0,7479"</f>
        <v>0</v>
      </c>
      <c r="E21" s="20" t="s">
        <v>15</v>
      </c>
      <c r="F21" s="20" t="s">
        <v>87</v>
      </c>
      <c r="G21" s="21" t="s">
        <v>88</v>
      </c>
      <c r="H21" s="20" t="s">
        <v>88</v>
      </c>
      <c r="I21" s="21"/>
      <c r="J21" s="20" t="s">
        <v>54</v>
      </c>
      <c r="K21" s="21" t="s">
        <v>349</v>
      </c>
      <c r="L21" s="21"/>
      <c r="M21" s="21"/>
      <c r="N21" s="20" t="s">
        <v>40</v>
      </c>
      <c r="O21" s="20" t="s">
        <v>78</v>
      </c>
      <c r="P21" s="20" t="s">
        <v>41</v>
      </c>
      <c r="Q21" s="21"/>
      <c r="R21" s="22">
        <v>600</v>
      </c>
      <c r="S21" s="20">
        <f>"448,7595"</f>
        <v>0</v>
      </c>
      <c r="T21" s="20"/>
    </row>
    <row r="23" spans="1:19" ht="16.5">
      <c r="A23" s="23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20" ht="14.25">
      <c r="A24" s="16" t="s">
        <v>50</v>
      </c>
      <c r="B24" s="16" t="s">
        <v>51</v>
      </c>
      <c r="C24" s="16" t="s">
        <v>1447</v>
      </c>
      <c r="D24" s="16">
        <f>"0,6700"</f>
        <v>0</v>
      </c>
      <c r="E24" s="16" t="s">
        <v>53</v>
      </c>
      <c r="F24" s="16" t="s">
        <v>87</v>
      </c>
      <c r="G24" s="16" t="s">
        <v>88</v>
      </c>
      <c r="H24" s="16" t="s">
        <v>40</v>
      </c>
      <c r="I24" s="18"/>
      <c r="J24" s="16" t="s">
        <v>29</v>
      </c>
      <c r="K24" s="18"/>
      <c r="L24" s="18"/>
      <c r="M24" s="18"/>
      <c r="N24" s="18" t="s">
        <v>87</v>
      </c>
      <c r="O24" s="18" t="s">
        <v>87</v>
      </c>
      <c r="P24" s="18" t="s">
        <v>87</v>
      </c>
      <c r="Q24" s="18"/>
      <c r="R24" s="19">
        <v>0</v>
      </c>
      <c r="S24" s="16">
        <f>"0,0000"</f>
        <v>0</v>
      </c>
      <c r="T24" s="16"/>
    </row>
    <row r="25" spans="1:20" ht="14.25">
      <c r="A25" s="20" t="s">
        <v>1448</v>
      </c>
      <c r="B25" s="20" t="s">
        <v>1449</v>
      </c>
      <c r="C25" s="20" t="s">
        <v>415</v>
      </c>
      <c r="D25" s="20">
        <f>"0,6456"</f>
        <v>0</v>
      </c>
      <c r="E25" s="20" t="s">
        <v>15</v>
      </c>
      <c r="F25" s="21" t="s">
        <v>1344</v>
      </c>
      <c r="G25" s="21" t="s">
        <v>105</v>
      </c>
      <c r="H25" s="20" t="s">
        <v>105</v>
      </c>
      <c r="I25" s="21"/>
      <c r="J25" s="20" t="s">
        <v>93</v>
      </c>
      <c r="K25" s="21" t="s">
        <v>240</v>
      </c>
      <c r="L25" s="21" t="s">
        <v>240</v>
      </c>
      <c r="M25" s="21"/>
      <c r="N25" s="20" t="s">
        <v>115</v>
      </c>
      <c r="O25" s="20" t="s">
        <v>68</v>
      </c>
      <c r="P25" s="21" t="s">
        <v>1135</v>
      </c>
      <c r="Q25" s="21"/>
      <c r="R25" s="22">
        <v>565</v>
      </c>
      <c r="S25" s="20">
        <f>"364,7640"</f>
        <v>0</v>
      </c>
      <c r="T25" s="20"/>
    </row>
    <row r="27" spans="1:19" ht="16.5">
      <c r="A27" s="23" t="s">
        <v>63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20" ht="14.25">
      <c r="A28" s="16" t="s">
        <v>1450</v>
      </c>
      <c r="B28" s="16" t="s">
        <v>1451</v>
      </c>
      <c r="C28" s="16" t="s">
        <v>266</v>
      </c>
      <c r="D28" s="16">
        <f>"0,6141"</f>
        <v>0</v>
      </c>
      <c r="E28" s="16" t="s">
        <v>1452</v>
      </c>
      <c r="F28" s="18" t="s">
        <v>1453</v>
      </c>
      <c r="G28" s="16" t="s">
        <v>105</v>
      </c>
      <c r="H28" s="18" t="s">
        <v>298</v>
      </c>
      <c r="I28" s="18"/>
      <c r="J28" s="16" t="s">
        <v>241</v>
      </c>
      <c r="K28" s="16" t="s">
        <v>212</v>
      </c>
      <c r="L28" s="18" t="s">
        <v>73</v>
      </c>
      <c r="M28" s="18"/>
      <c r="N28" s="16" t="s">
        <v>429</v>
      </c>
      <c r="O28" s="16" t="s">
        <v>337</v>
      </c>
      <c r="P28" s="16" t="s">
        <v>68</v>
      </c>
      <c r="Q28" s="18"/>
      <c r="R28" s="19">
        <v>760</v>
      </c>
      <c r="S28" s="16">
        <f>"466,7540"</f>
        <v>0</v>
      </c>
      <c r="T28" s="16"/>
    </row>
    <row r="29" spans="1:20" ht="14.25">
      <c r="A29" s="24" t="s">
        <v>1454</v>
      </c>
      <c r="B29" s="24" t="s">
        <v>1455</v>
      </c>
      <c r="C29" s="24" t="s">
        <v>422</v>
      </c>
      <c r="D29" s="24">
        <f>"0,6145"</f>
        <v>0</v>
      </c>
      <c r="E29" s="24" t="s">
        <v>15</v>
      </c>
      <c r="F29" s="25" t="s">
        <v>333</v>
      </c>
      <c r="G29" s="24" t="s">
        <v>1456</v>
      </c>
      <c r="H29" s="24" t="s">
        <v>105</v>
      </c>
      <c r="I29" s="25"/>
      <c r="J29" s="24" t="s">
        <v>93</v>
      </c>
      <c r="K29" s="25" t="s">
        <v>812</v>
      </c>
      <c r="L29" s="24" t="s">
        <v>812</v>
      </c>
      <c r="M29" s="25"/>
      <c r="N29" s="24" t="s">
        <v>316</v>
      </c>
      <c r="O29" s="24" t="s">
        <v>429</v>
      </c>
      <c r="P29" s="25" t="s">
        <v>283</v>
      </c>
      <c r="Q29" s="25"/>
      <c r="R29" s="26">
        <v>732.5</v>
      </c>
      <c r="S29" s="24">
        <f>"450,1579"</f>
        <v>0</v>
      </c>
      <c r="T29" s="24"/>
    </row>
    <row r="30" spans="1:20" ht="14.25">
      <c r="A30" s="20" t="s">
        <v>1235</v>
      </c>
      <c r="B30" s="20" t="s">
        <v>1236</v>
      </c>
      <c r="C30" s="20" t="s">
        <v>1457</v>
      </c>
      <c r="D30" s="20">
        <f>"0,8101"</f>
        <v>0</v>
      </c>
      <c r="E30" s="20" t="s">
        <v>15</v>
      </c>
      <c r="F30" s="20" t="s">
        <v>337</v>
      </c>
      <c r="G30" s="20" t="s">
        <v>282</v>
      </c>
      <c r="H30" s="21" t="s">
        <v>283</v>
      </c>
      <c r="I30" s="21"/>
      <c r="J30" s="20" t="s">
        <v>92</v>
      </c>
      <c r="K30" s="20" t="s">
        <v>93</v>
      </c>
      <c r="L30" s="21" t="s">
        <v>240</v>
      </c>
      <c r="M30" s="21"/>
      <c r="N30" s="20" t="s">
        <v>88</v>
      </c>
      <c r="O30" s="20" t="s">
        <v>40</v>
      </c>
      <c r="P30" s="20" t="s">
        <v>78</v>
      </c>
      <c r="Q30" s="21"/>
      <c r="R30" s="22">
        <v>670</v>
      </c>
      <c r="S30" s="20">
        <f>"542,7708"</f>
        <v>0</v>
      </c>
      <c r="T30" s="20"/>
    </row>
    <row r="32" spans="1:19" ht="16.5">
      <c r="A32" s="23" t="s">
        <v>69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20" ht="14.25">
      <c r="A33" s="16" t="s">
        <v>1458</v>
      </c>
      <c r="B33" s="16" t="s">
        <v>1459</v>
      </c>
      <c r="C33" s="16" t="s">
        <v>1073</v>
      </c>
      <c r="D33" s="16">
        <f>"0,5958"</f>
        <v>0</v>
      </c>
      <c r="E33" s="16" t="s">
        <v>15</v>
      </c>
      <c r="F33" s="16" t="s">
        <v>1460</v>
      </c>
      <c r="G33" s="16" t="s">
        <v>362</v>
      </c>
      <c r="H33" s="18" t="s">
        <v>349</v>
      </c>
      <c r="I33" s="18"/>
      <c r="J33" s="16" t="s">
        <v>131</v>
      </c>
      <c r="K33" s="16" t="s">
        <v>87</v>
      </c>
      <c r="L33" s="18" t="s">
        <v>88</v>
      </c>
      <c r="M33" s="18"/>
      <c r="N33" s="16" t="s">
        <v>353</v>
      </c>
      <c r="O33" s="18" t="s">
        <v>370</v>
      </c>
      <c r="P33" s="18"/>
      <c r="Q33" s="18"/>
      <c r="R33" s="19">
        <v>825</v>
      </c>
      <c r="S33" s="16">
        <f>"491,5762"</f>
        <v>0</v>
      </c>
      <c r="T33" s="16"/>
    </row>
    <row r="34" spans="1:20" ht="14.25">
      <c r="A34" s="24" t="s">
        <v>1461</v>
      </c>
      <c r="B34" s="24" t="s">
        <v>1462</v>
      </c>
      <c r="C34" s="24" t="s">
        <v>1463</v>
      </c>
      <c r="D34" s="24">
        <f>"0,5831"</f>
        <v>0</v>
      </c>
      <c r="E34" s="24" t="s">
        <v>15</v>
      </c>
      <c r="F34" s="24" t="s">
        <v>68</v>
      </c>
      <c r="G34" s="24" t="s">
        <v>79</v>
      </c>
      <c r="H34" s="24" t="s">
        <v>333</v>
      </c>
      <c r="I34" s="25"/>
      <c r="J34" s="25" t="s">
        <v>131</v>
      </c>
      <c r="K34" s="24" t="s">
        <v>131</v>
      </c>
      <c r="L34" s="24" t="s">
        <v>87</v>
      </c>
      <c r="M34" s="25"/>
      <c r="N34" s="24" t="s">
        <v>42</v>
      </c>
      <c r="O34" s="24" t="s">
        <v>68</v>
      </c>
      <c r="P34" s="24" t="s">
        <v>79</v>
      </c>
      <c r="Q34" s="25"/>
      <c r="R34" s="26">
        <v>750</v>
      </c>
      <c r="S34" s="24">
        <f>"437,2875"</f>
        <v>0</v>
      </c>
      <c r="T34" s="24"/>
    </row>
    <row r="35" spans="1:20" ht="14.25">
      <c r="A35" s="20" t="s">
        <v>1048</v>
      </c>
      <c r="B35" s="20" t="s">
        <v>1049</v>
      </c>
      <c r="C35" s="20" t="s">
        <v>1464</v>
      </c>
      <c r="D35" s="20">
        <f>"0,6112"</f>
        <v>0</v>
      </c>
      <c r="E35" s="20" t="s">
        <v>536</v>
      </c>
      <c r="F35" s="20" t="s">
        <v>87</v>
      </c>
      <c r="G35" s="20" t="s">
        <v>40</v>
      </c>
      <c r="H35" s="20" t="s">
        <v>316</v>
      </c>
      <c r="I35" s="21"/>
      <c r="J35" s="20" t="s">
        <v>54</v>
      </c>
      <c r="K35" s="20" t="s">
        <v>92</v>
      </c>
      <c r="L35" s="20" t="s">
        <v>46</v>
      </c>
      <c r="M35" s="21"/>
      <c r="N35" s="20" t="s">
        <v>40</v>
      </c>
      <c r="O35" s="20" t="s">
        <v>41</v>
      </c>
      <c r="P35" s="20" t="s">
        <v>337</v>
      </c>
      <c r="Q35" s="21"/>
      <c r="R35" s="22">
        <v>660</v>
      </c>
      <c r="S35" s="20">
        <f>"403,3590"</f>
        <v>0</v>
      </c>
      <c r="T35" s="20"/>
    </row>
    <row r="37" spans="1:19" ht="16.5">
      <c r="A37" s="23" t="s">
        <v>94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20" ht="14.25">
      <c r="A38" s="16" t="s">
        <v>291</v>
      </c>
      <c r="B38" s="16" t="s">
        <v>292</v>
      </c>
      <c r="C38" s="16" t="s">
        <v>440</v>
      </c>
      <c r="D38" s="16">
        <f>"0,5625"</f>
        <v>0</v>
      </c>
      <c r="E38" s="16" t="s">
        <v>15</v>
      </c>
      <c r="F38" s="16" t="s">
        <v>1460</v>
      </c>
      <c r="G38" s="16" t="s">
        <v>139</v>
      </c>
      <c r="H38" s="18" t="s">
        <v>349</v>
      </c>
      <c r="I38" s="18"/>
      <c r="J38" s="16" t="s">
        <v>78</v>
      </c>
      <c r="K38" s="18" t="s">
        <v>349</v>
      </c>
      <c r="L38" s="18"/>
      <c r="M38" s="18"/>
      <c r="N38" s="16" t="s">
        <v>441</v>
      </c>
      <c r="O38" s="16" t="s">
        <v>1465</v>
      </c>
      <c r="P38" s="18" t="s">
        <v>1466</v>
      </c>
      <c r="Q38" s="18"/>
      <c r="R38" s="19">
        <v>865</v>
      </c>
      <c r="S38" s="16">
        <f>"486,5625"</f>
        <v>0</v>
      </c>
      <c r="T38" s="16"/>
    </row>
    <row r="39" spans="1:20" ht="14.25">
      <c r="A39" s="24" t="s">
        <v>1467</v>
      </c>
      <c r="B39" s="24" t="s">
        <v>1468</v>
      </c>
      <c r="C39" s="24" t="s">
        <v>297</v>
      </c>
      <c r="D39" s="24">
        <f>"0,5650"</f>
        <v>0</v>
      </c>
      <c r="E39" s="24" t="s">
        <v>15</v>
      </c>
      <c r="F39" s="24" t="s">
        <v>353</v>
      </c>
      <c r="G39" s="24" t="s">
        <v>298</v>
      </c>
      <c r="H39" s="25" t="s">
        <v>362</v>
      </c>
      <c r="I39" s="25"/>
      <c r="J39" s="24" t="s">
        <v>316</v>
      </c>
      <c r="K39" s="25" t="s">
        <v>41</v>
      </c>
      <c r="L39" s="24" t="s">
        <v>41</v>
      </c>
      <c r="M39" s="25"/>
      <c r="N39" s="24" t="s">
        <v>362</v>
      </c>
      <c r="O39" s="24" t="s">
        <v>364</v>
      </c>
      <c r="P39" s="25" t="s">
        <v>1469</v>
      </c>
      <c r="Q39" s="25"/>
      <c r="R39" s="26">
        <v>900</v>
      </c>
      <c r="S39" s="24">
        <f>"508,5000"</f>
        <v>0</v>
      </c>
      <c r="T39" s="24"/>
    </row>
    <row r="40" spans="1:20" ht="14.25">
      <c r="A40" s="24" t="s">
        <v>1470</v>
      </c>
      <c r="B40" s="24" t="s">
        <v>1471</v>
      </c>
      <c r="C40" s="24" t="s">
        <v>1472</v>
      </c>
      <c r="D40" s="24">
        <f>"0,5785"</f>
        <v>0</v>
      </c>
      <c r="E40" s="24" t="s">
        <v>15</v>
      </c>
      <c r="F40" s="24" t="s">
        <v>844</v>
      </c>
      <c r="G40" s="25" t="s">
        <v>353</v>
      </c>
      <c r="H40" s="25" t="s">
        <v>98</v>
      </c>
      <c r="I40" s="25"/>
      <c r="J40" s="24" t="s">
        <v>212</v>
      </c>
      <c r="K40" s="24" t="s">
        <v>73</v>
      </c>
      <c r="L40" s="25" t="s">
        <v>88</v>
      </c>
      <c r="M40" s="25"/>
      <c r="N40" s="24" t="s">
        <v>68</v>
      </c>
      <c r="O40" s="25" t="s">
        <v>283</v>
      </c>
      <c r="P40" s="24" t="s">
        <v>333</v>
      </c>
      <c r="Q40" s="25"/>
      <c r="R40" s="26" t="s">
        <v>1473</v>
      </c>
      <c r="S40" s="24">
        <f>"280,5725"</f>
        <v>0</v>
      </c>
      <c r="T40" s="24"/>
    </row>
    <row r="41" spans="1:20" ht="14.25">
      <c r="A41" s="24" t="s">
        <v>117</v>
      </c>
      <c r="B41" s="24" t="s">
        <v>118</v>
      </c>
      <c r="C41" s="24" t="s">
        <v>1474</v>
      </c>
      <c r="D41" s="24">
        <f>"0,6267"</f>
        <v>0</v>
      </c>
      <c r="E41" s="24" t="s">
        <v>15</v>
      </c>
      <c r="F41" s="24" t="s">
        <v>131</v>
      </c>
      <c r="G41" s="24" t="s">
        <v>73</v>
      </c>
      <c r="H41" s="25" t="s">
        <v>349</v>
      </c>
      <c r="I41" s="25"/>
      <c r="J41" s="24" t="s">
        <v>17</v>
      </c>
      <c r="K41" s="24" t="s">
        <v>29</v>
      </c>
      <c r="L41" s="25" t="s">
        <v>30</v>
      </c>
      <c r="M41" s="25"/>
      <c r="N41" s="24" t="s">
        <v>1044</v>
      </c>
      <c r="O41" s="25"/>
      <c r="P41" s="25"/>
      <c r="Q41" s="25"/>
      <c r="R41" s="26" t="s">
        <v>1475</v>
      </c>
      <c r="S41" s="24">
        <f>"203,6873"</f>
        <v>0</v>
      </c>
      <c r="T41" s="24"/>
    </row>
    <row r="42" spans="1:20" ht="14.25">
      <c r="A42" s="24" t="s">
        <v>1248</v>
      </c>
      <c r="B42" s="24" t="s">
        <v>1249</v>
      </c>
      <c r="C42" s="24" t="s">
        <v>305</v>
      </c>
      <c r="D42" s="24">
        <f>"0,6785"</f>
        <v>0</v>
      </c>
      <c r="E42" s="24" t="s">
        <v>15</v>
      </c>
      <c r="F42" s="24" t="s">
        <v>40</v>
      </c>
      <c r="G42" s="24" t="s">
        <v>41</v>
      </c>
      <c r="H42" s="24" t="s">
        <v>429</v>
      </c>
      <c r="I42" s="25"/>
      <c r="J42" s="24" t="s">
        <v>792</v>
      </c>
      <c r="K42" s="24" t="s">
        <v>74</v>
      </c>
      <c r="L42" s="25" t="s">
        <v>233</v>
      </c>
      <c r="M42" s="25"/>
      <c r="N42" s="24" t="s">
        <v>87</v>
      </c>
      <c r="O42" s="24" t="s">
        <v>78</v>
      </c>
      <c r="P42" s="24" t="s">
        <v>429</v>
      </c>
      <c r="Q42" s="25"/>
      <c r="R42" s="26">
        <v>705</v>
      </c>
      <c r="S42" s="24">
        <f>"478,3101"</f>
        <v>0</v>
      </c>
      <c r="T42" s="24"/>
    </row>
    <row r="43" spans="1:20" ht="14.25">
      <c r="A43" s="20" t="s">
        <v>325</v>
      </c>
      <c r="B43" s="20" t="s">
        <v>326</v>
      </c>
      <c r="C43" s="20" t="s">
        <v>1476</v>
      </c>
      <c r="D43" s="20">
        <f>"1,0544"</f>
        <v>0</v>
      </c>
      <c r="E43" s="20" t="s">
        <v>327</v>
      </c>
      <c r="F43" s="20" t="s">
        <v>156</v>
      </c>
      <c r="G43" s="21" t="s">
        <v>349</v>
      </c>
      <c r="H43" s="21"/>
      <c r="I43" s="21"/>
      <c r="J43" s="20" t="s">
        <v>456</v>
      </c>
      <c r="K43" s="21"/>
      <c r="L43" s="21"/>
      <c r="M43" s="21"/>
      <c r="N43" s="20" t="s">
        <v>634</v>
      </c>
      <c r="O43" s="21"/>
      <c r="P43" s="21"/>
      <c r="Q43" s="21"/>
      <c r="R43" s="22" t="s">
        <v>1453</v>
      </c>
      <c r="S43" s="20" t="s">
        <v>1477</v>
      </c>
      <c r="T43" s="20"/>
    </row>
    <row r="45" spans="1:19" ht="16.5">
      <c r="A45" s="23" t="s">
        <v>127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20" ht="14.25">
      <c r="A46" s="16" t="s">
        <v>1478</v>
      </c>
      <c r="B46" s="16" t="s">
        <v>1479</v>
      </c>
      <c r="C46" s="16" t="s">
        <v>1306</v>
      </c>
      <c r="D46" s="16">
        <f>"0,5498"</f>
        <v>0</v>
      </c>
      <c r="E46" s="16" t="s">
        <v>211</v>
      </c>
      <c r="F46" s="16" t="s">
        <v>1480</v>
      </c>
      <c r="G46" s="18"/>
      <c r="H46" s="18"/>
      <c r="I46" s="18"/>
      <c r="J46" s="16" t="s">
        <v>1112</v>
      </c>
      <c r="K46" s="18"/>
      <c r="L46" s="18"/>
      <c r="M46" s="18"/>
      <c r="N46" s="16" t="s">
        <v>540</v>
      </c>
      <c r="O46" s="18"/>
      <c r="P46" s="18"/>
      <c r="Q46" s="18"/>
      <c r="R46" s="19" t="s">
        <v>1481</v>
      </c>
      <c r="S46" s="16" t="s">
        <v>1482</v>
      </c>
      <c r="T46" s="16"/>
    </row>
    <row r="47" spans="1:20" ht="14.25">
      <c r="A47" s="24" t="s">
        <v>1483</v>
      </c>
      <c r="B47" s="24" t="s">
        <v>1484</v>
      </c>
      <c r="C47" s="24" t="s">
        <v>1485</v>
      </c>
      <c r="D47" s="24">
        <f>"0,5476"</f>
        <v>0</v>
      </c>
      <c r="E47" s="24" t="s">
        <v>228</v>
      </c>
      <c r="F47" s="25" t="s">
        <v>1486</v>
      </c>
      <c r="G47" s="24" t="s">
        <v>100</v>
      </c>
      <c r="H47" s="25" t="s">
        <v>435</v>
      </c>
      <c r="I47" s="25"/>
      <c r="J47" s="24" t="s">
        <v>316</v>
      </c>
      <c r="K47" s="25" t="s">
        <v>429</v>
      </c>
      <c r="L47" s="25" t="s">
        <v>429</v>
      </c>
      <c r="M47" s="25"/>
      <c r="N47" s="24" t="s">
        <v>1487</v>
      </c>
      <c r="O47" s="24" t="s">
        <v>1456</v>
      </c>
      <c r="P47" s="25" t="s">
        <v>98</v>
      </c>
      <c r="Q47" s="25"/>
      <c r="R47" s="26">
        <v>865</v>
      </c>
      <c r="S47" s="24">
        <f>"473,6308"</f>
        <v>0</v>
      </c>
      <c r="T47" s="24"/>
    </row>
    <row r="48" spans="1:20" ht="14.25">
      <c r="A48" s="24" t="s">
        <v>1488</v>
      </c>
      <c r="B48" s="24" t="s">
        <v>1489</v>
      </c>
      <c r="C48" s="24" t="s">
        <v>336</v>
      </c>
      <c r="D48" s="24">
        <f>"0,5480"</f>
        <v>0</v>
      </c>
      <c r="E48" s="24" t="s">
        <v>15</v>
      </c>
      <c r="F48" s="24" t="s">
        <v>333</v>
      </c>
      <c r="G48" s="24" t="s">
        <v>104</v>
      </c>
      <c r="H48" s="25" t="s">
        <v>353</v>
      </c>
      <c r="I48" s="25"/>
      <c r="J48" s="24" t="s">
        <v>725</v>
      </c>
      <c r="K48" s="25" t="s">
        <v>88</v>
      </c>
      <c r="L48" s="25" t="s">
        <v>88</v>
      </c>
      <c r="M48" s="25"/>
      <c r="N48" s="24" t="s">
        <v>1490</v>
      </c>
      <c r="O48" s="25" t="s">
        <v>104</v>
      </c>
      <c r="P48" s="25"/>
      <c r="Q48" s="25"/>
      <c r="R48" s="26" t="s">
        <v>1491</v>
      </c>
      <c r="S48" s="24" t="s">
        <v>1492</v>
      </c>
      <c r="T48" s="24" t="s">
        <v>1493</v>
      </c>
    </row>
    <row r="49" spans="1:20" ht="14.25">
      <c r="A49" s="24" t="s">
        <v>1494</v>
      </c>
      <c r="B49" s="24" t="s">
        <v>1495</v>
      </c>
      <c r="C49" s="24" t="s">
        <v>1496</v>
      </c>
      <c r="D49" s="24">
        <f>"0,5618"</f>
        <v>0</v>
      </c>
      <c r="E49" s="24" t="s">
        <v>327</v>
      </c>
      <c r="F49" s="25" t="s">
        <v>353</v>
      </c>
      <c r="G49" s="24" t="s">
        <v>353</v>
      </c>
      <c r="H49" s="25" t="s">
        <v>1465</v>
      </c>
      <c r="I49" s="25"/>
      <c r="J49" s="24" t="s">
        <v>212</v>
      </c>
      <c r="K49" s="24" t="s">
        <v>73</v>
      </c>
      <c r="L49" s="25" t="s">
        <v>294</v>
      </c>
      <c r="M49" s="25"/>
      <c r="N49" s="25" t="s">
        <v>316</v>
      </c>
      <c r="O49" s="24" t="s">
        <v>316</v>
      </c>
      <c r="P49" s="25" t="s">
        <v>429</v>
      </c>
      <c r="Q49" s="25"/>
      <c r="R49" s="26">
        <v>740</v>
      </c>
      <c r="S49" s="24">
        <f>"415,7320"</f>
        <v>0</v>
      </c>
      <c r="T49" s="24"/>
    </row>
    <row r="50" spans="1:20" ht="14.25">
      <c r="A50" s="24" t="s">
        <v>1497</v>
      </c>
      <c r="B50" s="24" t="s">
        <v>1498</v>
      </c>
      <c r="C50" s="24" t="s">
        <v>1499</v>
      </c>
      <c r="D50" s="24">
        <f>"0,5518"</f>
        <v>0</v>
      </c>
      <c r="E50" s="24" t="s">
        <v>228</v>
      </c>
      <c r="F50" s="24" t="s">
        <v>42</v>
      </c>
      <c r="G50" s="24" t="s">
        <v>282</v>
      </c>
      <c r="H50" s="25" t="s">
        <v>349</v>
      </c>
      <c r="I50" s="25"/>
      <c r="J50" s="24" t="s">
        <v>1500</v>
      </c>
      <c r="K50" s="24" t="s">
        <v>47</v>
      </c>
      <c r="L50" s="24" t="s">
        <v>212</v>
      </c>
      <c r="M50" s="25"/>
      <c r="N50" s="24" t="s">
        <v>42</v>
      </c>
      <c r="O50" s="24" t="s">
        <v>283</v>
      </c>
      <c r="P50" s="25" t="s">
        <v>1135</v>
      </c>
      <c r="Q50" s="25"/>
      <c r="R50" s="26">
        <v>735</v>
      </c>
      <c r="S50" s="24">
        <f>"405,5363"</f>
        <v>0</v>
      </c>
      <c r="T50" s="24"/>
    </row>
    <row r="51" spans="1:20" ht="14.25">
      <c r="A51" s="24" t="s">
        <v>1501</v>
      </c>
      <c r="B51" s="24" t="s">
        <v>1502</v>
      </c>
      <c r="C51" s="24" t="s">
        <v>1503</v>
      </c>
      <c r="D51" s="24">
        <f>"0,5635"</f>
        <v>0</v>
      </c>
      <c r="E51" s="24" t="s">
        <v>15</v>
      </c>
      <c r="F51" s="24" t="s">
        <v>42</v>
      </c>
      <c r="G51" s="24" t="s">
        <v>282</v>
      </c>
      <c r="H51" s="24" t="s">
        <v>283</v>
      </c>
      <c r="I51" s="25"/>
      <c r="J51" s="24" t="s">
        <v>725</v>
      </c>
      <c r="K51" s="24" t="s">
        <v>88</v>
      </c>
      <c r="L51" s="25" t="s">
        <v>40</v>
      </c>
      <c r="M51" s="25"/>
      <c r="N51" s="24" t="s">
        <v>78</v>
      </c>
      <c r="O51" s="24" t="s">
        <v>42</v>
      </c>
      <c r="P51" s="25" t="s">
        <v>68</v>
      </c>
      <c r="Q51" s="25"/>
      <c r="R51" s="26">
        <v>735</v>
      </c>
      <c r="S51" s="24">
        <f>"414,1942"</f>
        <v>0</v>
      </c>
      <c r="T51" s="24"/>
    </row>
    <row r="52" spans="1:20" ht="14.25">
      <c r="A52" s="24" t="s">
        <v>1504</v>
      </c>
      <c r="B52" s="24" t="s">
        <v>1505</v>
      </c>
      <c r="C52" s="24" t="s">
        <v>1506</v>
      </c>
      <c r="D52" s="24">
        <f>"0,5895"</f>
        <v>0</v>
      </c>
      <c r="E52" s="24" t="s">
        <v>223</v>
      </c>
      <c r="F52" s="24" t="s">
        <v>429</v>
      </c>
      <c r="G52" s="25"/>
      <c r="H52" s="25"/>
      <c r="I52" s="25"/>
      <c r="J52" s="24" t="s">
        <v>46</v>
      </c>
      <c r="K52" s="24" t="s">
        <v>47</v>
      </c>
      <c r="L52" s="25"/>
      <c r="M52" s="25"/>
      <c r="N52" s="24" t="s">
        <v>47</v>
      </c>
      <c r="O52" s="24" t="s">
        <v>87</v>
      </c>
      <c r="P52" s="25"/>
      <c r="Q52" s="25"/>
      <c r="R52" s="26">
        <v>625</v>
      </c>
      <c r="S52" s="24">
        <f>"368,4600"</f>
        <v>0</v>
      </c>
      <c r="T52" s="24"/>
    </row>
    <row r="53" spans="1:20" ht="14.25">
      <c r="A53" s="20" t="s">
        <v>1507</v>
      </c>
      <c r="B53" s="20" t="s">
        <v>1508</v>
      </c>
      <c r="C53" s="20" t="s">
        <v>1509</v>
      </c>
      <c r="D53" s="20">
        <f>"0,6313"</f>
        <v>0</v>
      </c>
      <c r="E53" s="20" t="s">
        <v>15</v>
      </c>
      <c r="F53" s="20" t="s">
        <v>1100</v>
      </c>
      <c r="G53" s="21" t="s">
        <v>104</v>
      </c>
      <c r="H53" s="20" t="s">
        <v>104</v>
      </c>
      <c r="I53" s="21"/>
      <c r="J53" s="20" t="s">
        <v>481</v>
      </c>
      <c r="K53" s="20" t="s">
        <v>131</v>
      </c>
      <c r="L53" s="20" t="s">
        <v>704</v>
      </c>
      <c r="M53" s="21"/>
      <c r="N53" s="20" t="s">
        <v>68</v>
      </c>
      <c r="O53" s="20" t="s">
        <v>79</v>
      </c>
      <c r="P53" s="21"/>
      <c r="Q53" s="21"/>
      <c r="R53" s="22">
        <v>757.5</v>
      </c>
      <c r="S53" s="20">
        <f>"478,1904"</f>
        <v>0</v>
      </c>
      <c r="T53" s="20"/>
    </row>
    <row r="55" ht="16.5">
      <c r="E55" s="30" t="s">
        <v>144</v>
      </c>
    </row>
    <row r="56" ht="16.5">
      <c r="E56" s="30" t="s">
        <v>145</v>
      </c>
    </row>
    <row r="57" ht="16.5">
      <c r="E57" s="30" t="s">
        <v>146</v>
      </c>
    </row>
    <row r="58" ht="14.25">
      <c r="E58" s="1" t="s">
        <v>147</v>
      </c>
    </row>
    <row r="59" ht="14.25">
      <c r="E59" s="1" t="s">
        <v>148</v>
      </c>
    </row>
    <row r="60" ht="14.25">
      <c r="E60" s="1" t="s">
        <v>149</v>
      </c>
    </row>
    <row r="63" spans="1:2" ht="18.75">
      <c r="A63" s="31" t="s">
        <v>150</v>
      </c>
      <c r="B63" s="31"/>
    </row>
    <row r="64" spans="1:2" ht="16.5">
      <c r="A64" s="32" t="s">
        <v>151</v>
      </c>
      <c r="B64" s="32"/>
    </row>
    <row r="65" spans="1:2" ht="15.75">
      <c r="A65" s="33" t="s">
        <v>152</v>
      </c>
      <c r="B65" s="34"/>
    </row>
    <row r="66" spans="1:5" ht="15.75">
      <c r="A66" s="35" t="s">
        <v>1</v>
      </c>
      <c r="B66" s="35" t="s">
        <v>153</v>
      </c>
      <c r="C66" s="35" t="s">
        <v>154</v>
      </c>
      <c r="D66" s="35" t="s">
        <v>7</v>
      </c>
      <c r="E66" s="35" t="s">
        <v>155</v>
      </c>
    </row>
    <row r="67" spans="1:5" ht="14.25">
      <c r="A67" s="36" t="s">
        <v>1431</v>
      </c>
      <c r="B67" s="1" t="s">
        <v>152</v>
      </c>
      <c r="C67" s="1" t="s">
        <v>171</v>
      </c>
      <c r="D67" s="1" t="s">
        <v>1510</v>
      </c>
      <c r="E67" s="37" t="s">
        <v>1511</v>
      </c>
    </row>
    <row r="68" spans="1:5" ht="14.25">
      <c r="A68" s="36" t="s">
        <v>1429</v>
      </c>
      <c r="B68" s="1" t="s">
        <v>152</v>
      </c>
      <c r="C68" s="1" t="s">
        <v>156</v>
      </c>
      <c r="D68" s="1" t="s">
        <v>1512</v>
      </c>
      <c r="E68" s="37" t="s">
        <v>1513</v>
      </c>
    </row>
    <row r="71" spans="1:2" ht="16.5">
      <c r="A71" s="32" t="s">
        <v>164</v>
      </c>
      <c r="B71" s="32"/>
    </row>
    <row r="72" spans="1:2" ht="15.75">
      <c r="A72" s="33" t="s">
        <v>375</v>
      </c>
      <c r="B72" s="34"/>
    </row>
    <row r="73" spans="1:5" ht="15.75">
      <c r="A73" s="35" t="s">
        <v>1</v>
      </c>
      <c r="B73" s="35" t="s">
        <v>153</v>
      </c>
      <c r="C73" s="35" t="s">
        <v>154</v>
      </c>
      <c r="D73" s="35" t="s">
        <v>7</v>
      </c>
      <c r="E73" s="35" t="s">
        <v>155</v>
      </c>
    </row>
    <row r="74" spans="1:5" ht="14.25">
      <c r="A74" s="36" t="s">
        <v>1439</v>
      </c>
      <c r="B74" s="1" t="s">
        <v>376</v>
      </c>
      <c r="C74" s="1" t="s">
        <v>156</v>
      </c>
      <c r="D74" s="1" t="s">
        <v>1514</v>
      </c>
      <c r="E74" s="37" t="s">
        <v>1515</v>
      </c>
    </row>
    <row r="75" spans="1:5" ht="14.25">
      <c r="A75" s="36" t="s">
        <v>291</v>
      </c>
      <c r="B75" s="1" t="s">
        <v>376</v>
      </c>
      <c r="C75" s="1" t="s">
        <v>173</v>
      </c>
      <c r="D75" s="1" t="s">
        <v>1516</v>
      </c>
      <c r="E75" s="37" t="s">
        <v>1517</v>
      </c>
    </row>
    <row r="76" spans="1:5" ht="14.25">
      <c r="A76" s="36" t="s">
        <v>1435</v>
      </c>
      <c r="B76" s="1" t="s">
        <v>376</v>
      </c>
      <c r="C76" s="1" t="s">
        <v>158</v>
      </c>
      <c r="D76" s="1" t="s">
        <v>298</v>
      </c>
      <c r="E76" s="37" t="s">
        <v>1518</v>
      </c>
    </row>
    <row r="78" spans="1:2" ht="15.75">
      <c r="A78" s="33" t="s">
        <v>165</v>
      </c>
      <c r="B78" s="34"/>
    </row>
    <row r="79" spans="1:5" ht="15.75">
      <c r="A79" s="35" t="s">
        <v>1</v>
      </c>
      <c r="B79" s="35" t="s">
        <v>153</v>
      </c>
      <c r="C79" s="35" t="s">
        <v>154</v>
      </c>
      <c r="D79" s="35" t="s">
        <v>7</v>
      </c>
      <c r="E79" s="35" t="s">
        <v>155</v>
      </c>
    </row>
    <row r="80" spans="1:5" ht="14.25">
      <c r="A80" s="36" t="s">
        <v>214</v>
      </c>
      <c r="B80" s="1" t="s">
        <v>166</v>
      </c>
      <c r="C80" s="1" t="s">
        <v>379</v>
      </c>
      <c r="D80" s="1" t="s">
        <v>1519</v>
      </c>
      <c r="E80" s="37" t="s">
        <v>1520</v>
      </c>
    </row>
    <row r="81" spans="1:5" ht="14.25">
      <c r="A81" s="36" t="s">
        <v>1478</v>
      </c>
      <c r="B81" s="1" t="s">
        <v>166</v>
      </c>
      <c r="C81" s="1" t="s">
        <v>169</v>
      </c>
      <c r="D81" s="58" t="s">
        <v>1481</v>
      </c>
      <c r="E81" s="42" t="s">
        <v>1482</v>
      </c>
    </row>
    <row r="83" spans="1:2" ht="15.75">
      <c r="A83" s="33" t="s">
        <v>152</v>
      </c>
      <c r="B83" s="34"/>
    </row>
    <row r="84" spans="1:5" ht="15.75">
      <c r="A84" s="35" t="s">
        <v>1</v>
      </c>
      <c r="B84" s="35" t="s">
        <v>153</v>
      </c>
      <c r="C84" s="35" t="s">
        <v>154</v>
      </c>
      <c r="D84" s="35" t="s">
        <v>7</v>
      </c>
      <c r="E84" s="35" t="s">
        <v>155</v>
      </c>
    </row>
    <row r="85" spans="1:5" ht="14.25">
      <c r="A85" s="36" t="s">
        <v>1467</v>
      </c>
      <c r="B85" s="1" t="s">
        <v>152</v>
      </c>
      <c r="C85" s="1" t="s">
        <v>173</v>
      </c>
      <c r="D85" s="1" t="s">
        <v>1521</v>
      </c>
      <c r="E85" s="37" t="s">
        <v>1522</v>
      </c>
    </row>
    <row r="86" spans="1:5" ht="14.25">
      <c r="A86" s="36" t="s">
        <v>1458</v>
      </c>
      <c r="B86" s="1" t="s">
        <v>152</v>
      </c>
      <c r="C86" s="1" t="s">
        <v>167</v>
      </c>
      <c r="D86" s="1" t="s">
        <v>1523</v>
      </c>
      <c r="E86" s="37" t="s">
        <v>1524</v>
      </c>
    </row>
    <row r="87" spans="1:5" ht="14.25">
      <c r="A87" s="36" t="s">
        <v>1483</v>
      </c>
      <c r="B87" s="1" t="s">
        <v>152</v>
      </c>
      <c r="C87" s="1" t="s">
        <v>169</v>
      </c>
      <c r="D87" s="1" t="s">
        <v>1516</v>
      </c>
      <c r="E87" s="37" t="s">
        <v>1525</v>
      </c>
    </row>
    <row r="88" spans="1:5" ht="14.25">
      <c r="A88" s="36" t="s">
        <v>1450</v>
      </c>
      <c r="B88" s="1" t="s">
        <v>152</v>
      </c>
      <c r="C88" s="1" t="s">
        <v>181</v>
      </c>
      <c r="D88" s="1" t="s">
        <v>1526</v>
      </c>
      <c r="E88" s="37" t="s">
        <v>1527</v>
      </c>
    </row>
    <row r="89" spans="1:5" ht="14.25">
      <c r="A89" s="36" t="s">
        <v>1454</v>
      </c>
      <c r="B89" s="1" t="s">
        <v>152</v>
      </c>
      <c r="C89" s="1" t="s">
        <v>181</v>
      </c>
      <c r="D89" s="1" t="s">
        <v>1528</v>
      </c>
      <c r="E89" s="37" t="s">
        <v>1529</v>
      </c>
    </row>
    <row r="90" spans="1:5" ht="14.25">
      <c r="A90" s="36" t="s">
        <v>1461</v>
      </c>
      <c r="B90" s="1" t="s">
        <v>152</v>
      </c>
      <c r="C90" s="1" t="s">
        <v>167</v>
      </c>
      <c r="D90" s="1" t="s">
        <v>1424</v>
      </c>
      <c r="E90" s="37" t="s">
        <v>1530</v>
      </c>
    </row>
    <row r="91" spans="1:5" ht="14.25">
      <c r="A91" s="36" t="s">
        <v>1494</v>
      </c>
      <c r="B91" s="1" t="s">
        <v>152</v>
      </c>
      <c r="C91" s="1" t="s">
        <v>169</v>
      </c>
      <c r="D91" s="1" t="s">
        <v>1420</v>
      </c>
      <c r="E91" s="37" t="s">
        <v>1531</v>
      </c>
    </row>
    <row r="92" spans="1:5" ht="14.25">
      <c r="A92" s="36" t="s">
        <v>1497</v>
      </c>
      <c r="B92" s="1" t="s">
        <v>152</v>
      </c>
      <c r="C92" s="1" t="s">
        <v>169</v>
      </c>
      <c r="D92" s="1" t="s">
        <v>1532</v>
      </c>
      <c r="E92" s="37" t="s">
        <v>1533</v>
      </c>
    </row>
    <row r="93" spans="1:5" ht="14.25">
      <c r="A93" s="36" t="s">
        <v>1048</v>
      </c>
      <c r="B93" s="1" t="s">
        <v>152</v>
      </c>
      <c r="C93" s="1" t="s">
        <v>167</v>
      </c>
      <c r="D93" s="1" t="s">
        <v>1534</v>
      </c>
      <c r="E93" s="37" t="s">
        <v>1535</v>
      </c>
    </row>
    <row r="94" spans="1:5" ht="14.25">
      <c r="A94" s="36" t="s">
        <v>1448</v>
      </c>
      <c r="B94" s="1" t="s">
        <v>152</v>
      </c>
      <c r="C94" s="1" t="s">
        <v>171</v>
      </c>
      <c r="D94" s="1" t="s">
        <v>1536</v>
      </c>
      <c r="E94" s="37" t="s">
        <v>1537</v>
      </c>
    </row>
    <row r="95" spans="1:5" ht="14.25">
      <c r="A95" s="36" t="s">
        <v>1470</v>
      </c>
      <c r="B95" s="1" t="s">
        <v>152</v>
      </c>
      <c r="C95" s="1" t="s">
        <v>173</v>
      </c>
      <c r="D95" s="1" t="s">
        <v>1538</v>
      </c>
      <c r="E95" s="37" t="s">
        <v>1539</v>
      </c>
    </row>
    <row r="96" spans="1:5" ht="14.25">
      <c r="A96" s="36" t="s">
        <v>1488</v>
      </c>
      <c r="B96" s="1" t="s">
        <v>152</v>
      </c>
      <c r="C96" s="1" t="s">
        <v>169</v>
      </c>
      <c r="D96" s="1" t="s">
        <v>104</v>
      </c>
      <c r="E96" s="37" t="s">
        <v>1540</v>
      </c>
    </row>
    <row r="98" spans="1:2" ht="15.75">
      <c r="A98" s="33" t="s">
        <v>160</v>
      </c>
      <c r="B98" s="34"/>
    </row>
    <row r="99" spans="1:5" ht="15.75">
      <c r="A99" s="35" t="s">
        <v>1</v>
      </c>
      <c r="B99" s="35" t="s">
        <v>153</v>
      </c>
      <c r="C99" s="35" t="s">
        <v>154</v>
      </c>
      <c r="D99" s="35" t="s">
        <v>7</v>
      </c>
      <c r="E99" s="35" t="s">
        <v>155</v>
      </c>
    </row>
    <row r="100" spans="1:5" ht="14.25">
      <c r="A100" s="36" t="s">
        <v>1235</v>
      </c>
      <c r="B100" s="1" t="s">
        <v>190</v>
      </c>
      <c r="C100" s="1" t="s">
        <v>181</v>
      </c>
      <c r="D100" s="1" t="s">
        <v>1541</v>
      </c>
      <c r="E100" s="37" t="s">
        <v>1542</v>
      </c>
    </row>
    <row r="101" spans="1:5" ht="14.25">
      <c r="A101" s="36" t="s">
        <v>1248</v>
      </c>
      <c r="B101" s="1" t="s">
        <v>161</v>
      </c>
      <c r="C101" s="1" t="s">
        <v>173</v>
      </c>
      <c r="D101" s="1" t="s">
        <v>1543</v>
      </c>
      <c r="E101" s="37" t="s">
        <v>1544</v>
      </c>
    </row>
    <row r="102" spans="1:5" ht="14.25">
      <c r="A102" s="36" t="s">
        <v>1507</v>
      </c>
      <c r="B102" s="1" t="s">
        <v>161</v>
      </c>
      <c r="C102" s="1" t="s">
        <v>169</v>
      </c>
      <c r="D102" s="1" t="s">
        <v>1545</v>
      </c>
      <c r="E102" s="37" t="s">
        <v>1546</v>
      </c>
    </row>
    <row r="103" spans="1:5" ht="14.25">
      <c r="A103" s="36" t="s">
        <v>1441</v>
      </c>
      <c r="B103" s="1" t="s">
        <v>188</v>
      </c>
      <c r="C103" s="1" t="s">
        <v>156</v>
      </c>
      <c r="D103" s="1" t="s">
        <v>1547</v>
      </c>
      <c r="E103" s="37" t="s">
        <v>1548</v>
      </c>
    </row>
    <row r="104" spans="1:5" ht="14.25">
      <c r="A104" s="36" t="s">
        <v>1501</v>
      </c>
      <c r="B104" s="1" t="s">
        <v>399</v>
      </c>
      <c r="C104" s="1" t="s">
        <v>169</v>
      </c>
      <c r="D104" s="1" t="s">
        <v>1532</v>
      </c>
      <c r="E104" s="37" t="s">
        <v>1549</v>
      </c>
    </row>
    <row r="105" spans="1:5" ht="14.25">
      <c r="A105" s="36" t="s">
        <v>1504</v>
      </c>
      <c r="B105" s="1" t="s">
        <v>188</v>
      </c>
      <c r="C105" s="1" t="s">
        <v>169</v>
      </c>
      <c r="D105" s="1" t="s">
        <v>1550</v>
      </c>
      <c r="E105" s="37" t="s">
        <v>1551</v>
      </c>
    </row>
    <row r="106" spans="1:5" ht="14.25">
      <c r="A106" s="55" t="s">
        <v>1552</v>
      </c>
      <c r="B106" s="1" t="s">
        <v>404</v>
      </c>
      <c r="C106" s="1" t="s">
        <v>173</v>
      </c>
      <c r="D106" s="38" t="s">
        <v>104</v>
      </c>
      <c r="E106" s="39" t="s">
        <v>1477</v>
      </c>
    </row>
    <row r="107" spans="1:5" ht="14.25">
      <c r="A107" s="36" t="s">
        <v>117</v>
      </c>
      <c r="B107" s="1" t="s">
        <v>188</v>
      </c>
      <c r="C107" s="1" t="s">
        <v>173</v>
      </c>
      <c r="D107" s="38" t="s">
        <v>1475</v>
      </c>
      <c r="E107" s="39">
        <f>"203,6873"</f>
        <v>0</v>
      </c>
    </row>
  </sheetData>
  <sheetProtection selectLockedCells="1" selectUnlockedCells="1"/>
  <mergeCells count="22">
    <mergeCell ref="A1:T2"/>
    <mergeCell ref="A3:A4"/>
    <mergeCell ref="B3:B4"/>
    <mergeCell ref="C3:C4"/>
    <mergeCell ref="D3:D4"/>
    <mergeCell ref="E3:E4"/>
    <mergeCell ref="F3:I3"/>
    <mergeCell ref="J3:M3"/>
    <mergeCell ref="N3:Q3"/>
    <mergeCell ref="R3:R4"/>
    <mergeCell ref="S3:S4"/>
    <mergeCell ref="T3:T4"/>
    <mergeCell ref="A5:S5"/>
    <mergeCell ref="A8:S8"/>
    <mergeCell ref="A11:S11"/>
    <mergeCell ref="A14:S14"/>
    <mergeCell ref="A17:S17"/>
    <mergeCell ref="A23:S23"/>
    <mergeCell ref="A27:S27"/>
    <mergeCell ref="A32:S32"/>
    <mergeCell ref="A37:S37"/>
    <mergeCell ref="A45:S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71"/>
  <sheetViews>
    <sheetView workbookViewId="0" topLeftCell="A19">
      <selection activeCell="R1" sqref="R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8" width="5.50390625" style="1" customWidth="1"/>
    <col min="9" max="9" width="4.50390625" style="1" customWidth="1"/>
    <col min="10" max="12" width="5.50390625" style="1" customWidth="1"/>
    <col min="13" max="13" width="4.50390625" style="1" customWidth="1"/>
    <col min="14" max="17" width="5.50390625" style="1" customWidth="1"/>
    <col min="18" max="18" width="6.375" style="2" customWidth="1"/>
    <col min="19" max="19" width="8.50390625" style="1" customWidth="1"/>
    <col min="20" max="20" width="15.75390625" style="1" customWidth="1"/>
  </cols>
  <sheetData>
    <row r="1" spans="1:20" s="4" customFormat="1" ht="15" customHeight="1">
      <c r="A1" s="3" t="s">
        <v>1553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6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1337</v>
      </c>
      <c r="G3" s="8"/>
      <c r="H3" s="8"/>
      <c r="I3" s="8"/>
      <c r="J3" s="8" t="s">
        <v>6</v>
      </c>
      <c r="K3" s="8"/>
      <c r="L3" s="8"/>
      <c r="M3" s="8"/>
      <c r="N3" s="8" t="s">
        <v>993</v>
      </c>
      <c r="O3" s="8"/>
      <c r="P3" s="8"/>
      <c r="Q3" s="8"/>
      <c r="R3" s="9" t="s">
        <v>7</v>
      </c>
      <c r="S3" s="7" t="s">
        <v>8</v>
      </c>
      <c r="T3" s="10" t="s">
        <v>9</v>
      </c>
    </row>
    <row r="4" spans="1:20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12">
        <v>1</v>
      </c>
      <c r="K4" s="13">
        <v>2</v>
      </c>
      <c r="L4" s="13">
        <v>3</v>
      </c>
      <c r="M4" s="14" t="s">
        <v>10</v>
      </c>
      <c r="N4" s="12">
        <v>1</v>
      </c>
      <c r="O4" s="13">
        <v>2</v>
      </c>
      <c r="P4" s="13">
        <v>3</v>
      </c>
      <c r="Q4" s="14" t="s">
        <v>10</v>
      </c>
      <c r="R4" s="9"/>
      <c r="S4" s="7"/>
      <c r="T4" s="10"/>
    </row>
    <row r="5" spans="1:19" ht="16.5">
      <c r="A5" s="15" t="s">
        <v>213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0" ht="14.25">
      <c r="A6" s="27" t="s">
        <v>1554</v>
      </c>
      <c r="B6" s="27" t="s">
        <v>1555</v>
      </c>
      <c r="C6" s="27" t="s">
        <v>1556</v>
      </c>
      <c r="D6" s="27">
        <f>"1,1076"</f>
        <v>0</v>
      </c>
      <c r="E6" s="27" t="s">
        <v>1557</v>
      </c>
      <c r="F6" s="27" t="s">
        <v>1558</v>
      </c>
      <c r="G6" s="27" t="s">
        <v>540</v>
      </c>
      <c r="H6" s="27" t="s">
        <v>526</v>
      </c>
      <c r="I6" s="28"/>
      <c r="J6" s="28" t="s">
        <v>594</v>
      </c>
      <c r="K6" s="27" t="s">
        <v>1559</v>
      </c>
      <c r="L6" s="27" t="s">
        <v>548</v>
      </c>
      <c r="M6" s="27" t="s">
        <v>523</v>
      </c>
      <c r="N6" s="28" t="s">
        <v>1560</v>
      </c>
      <c r="O6" s="27" t="s">
        <v>527</v>
      </c>
      <c r="P6" s="28" t="s">
        <v>528</v>
      </c>
      <c r="Q6" s="28"/>
      <c r="R6" s="29">
        <v>210</v>
      </c>
      <c r="S6" s="27">
        <f>"232,5960"</f>
        <v>0</v>
      </c>
      <c r="T6" s="27"/>
    </row>
    <row r="8" spans="1:19" ht="16.5">
      <c r="A8" s="23" t="s">
        <v>583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20" ht="14.25">
      <c r="A9" s="16" t="s">
        <v>1561</v>
      </c>
      <c r="B9" s="16" t="s">
        <v>573</v>
      </c>
      <c r="C9" s="16" t="s">
        <v>590</v>
      </c>
      <c r="D9" s="16">
        <f>"1,1950"</f>
        <v>0</v>
      </c>
      <c r="E9" s="16" t="s">
        <v>15</v>
      </c>
      <c r="F9" s="16" t="s">
        <v>510</v>
      </c>
      <c r="G9" s="16" t="s">
        <v>511</v>
      </c>
      <c r="H9" s="18" t="s">
        <v>512</v>
      </c>
      <c r="I9" s="18"/>
      <c r="J9" s="16" t="s">
        <v>1562</v>
      </c>
      <c r="K9" s="18" t="s">
        <v>1563</v>
      </c>
      <c r="L9" s="16" t="s">
        <v>1563</v>
      </c>
      <c r="M9" s="18"/>
      <c r="N9" s="16" t="s">
        <v>1564</v>
      </c>
      <c r="O9" s="18" t="s">
        <v>260</v>
      </c>
      <c r="P9" s="16" t="s">
        <v>260</v>
      </c>
      <c r="Q9" s="18"/>
      <c r="R9" s="19">
        <v>227.5</v>
      </c>
      <c r="S9" s="16">
        <f>"271,8568"</f>
        <v>0</v>
      </c>
      <c r="T9" s="16"/>
    </row>
    <row r="10" spans="1:20" ht="14.25">
      <c r="A10" s="20" t="s">
        <v>994</v>
      </c>
      <c r="B10" s="20" t="s">
        <v>995</v>
      </c>
      <c r="C10" s="20" t="s">
        <v>1565</v>
      </c>
      <c r="D10" s="20">
        <f>"1,4092"</f>
        <v>0</v>
      </c>
      <c r="E10" s="20" t="s">
        <v>327</v>
      </c>
      <c r="F10" s="20" t="s">
        <v>1566</v>
      </c>
      <c r="G10" s="21" t="s">
        <v>540</v>
      </c>
      <c r="H10" s="20" t="s">
        <v>540</v>
      </c>
      <c r="I10" s="21"/>
      <c r="J10" s="20" t="s">
        <v>1567</v>
      </c>
      <c r="K10" s="20" t="s">
        <v>594</v>
      </c>
      <c r="L10" s="20" t="s">
        <v>1559</v>
      </c>
      <c r="M10" s="21"/>
      <c r="N10" s="20" t="s">
        <v>260</v>
      </c>
      <c r="O10" s="20" t="s">
        <v>555</v>
      </c>
      <c r="P10" s="21" t="s">
        <v>35</v>
      </c>
      <c r="Q10" s="21"/>
      <c r="R10" s="22">
        <v>240</v>
      </c>
      <c r="S10" s="20">
        <f>"338,1969"</f>
        <v>0</v>
      </c>
      <c r="T10" s="20"/>
    </row>
    <row r="12" spans="1:19" ht="16.5">
      <c r="A12" s="23" t="s">
        <v>202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20" ht="14.25">
      <c r="A13" s="27" t="s">
        <v>1568</v>
      </c>
      <c r="B13" s="27" t="s">
        <v>1569</v>
      </c>
      <c r="C13" s="27" t="s">
        <v>522</v>
      </c>
      <c r="D13" s="27">
        <f>"0,9876"</f>
        <v>0</v>
      </c>
      <c r="E13" s="27" t="s">
        <v>58</v>
      </c>
      <c r="F13" s="27" t="s">
        <v>254</v>
      </c>
      <c r="G13" s="27" t="s">
        <v>678</v>
      </c>
      <c r="H13" s="28" t="s">
        <v>486</v>
      </c>
      <c r="I13" s="28"/>
      <c r="J13" s="27" t="s">
        <v>1558</v>
      </c>
      <c r="K13" s="27" t="s">
        <v>526</v>
      </c>
      <c r="L13" s="28" t="s">
        <v>22</v>
      </c>
      <c r="M13" s="28"/>
      <c r="N13" s="27" t="s">
        <v>1570</v>
      </c>
      <c r="O13" s="27" t="s">
        <v>131</v>
      </c>
      <c r="P13" s="28" t="s">
        <v>87</v>
      </c>
      <c r="Q13" s="28"/>
      <c r="R13" s="29">
        <v>417.5</v>
      </c>
      <c r="S13" s="27">
        <f>"412,3230"</f>
        <v>0</v>
      </c>
      <c r="T13" s="27"/>
    </row>
    <row r="15" spans="1:19" ht="16.5">
      <c r="A15" s="23" t="s">
        <v>11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20" ht="14.25">
      <c r="A16" s="16" t="s">
        <v>1571</v>
      </c>
      <c r="B16" s="16" t="s">
        <v>1572</v>
      </c>
      <c r="C16" s="16" t="s">
        <v>21</v>
      </c>
      <c r="D16" s="16">
        <f>"0,9166"</f>
        <v>0</v>
      </c>
      <c r="E16" s="16" t="s">
        <v>58</v>
      </c>
      <c r="F16" s="18" t="s">
        <v>1356</v>
      </c>
      <c r="G16" s="16" t="s">
        <v>35</v>
      </c>
      <c r="H16" s="16" t="s">
        <v>206</v>
      </c>
      <c r="I16" s="18"/>
      <c r="J16" s="16" t="s">
        <v>527</v>
      </c>
      <c r="K16" s="16" t="s">
        <v>328</v>
      </c>
      <c r="L16" s="18" t="s">
        <v>22</v>
      </c>
      <c r="M16" s="18"/>
      <c r="N16" s="16" t="s">
        <v>486</v>
      </c>
      <c r="O16" s="18" t="s">
        <v>46</v>
      </c>
      <c r="P16" s="18" t="s">
        <v>46</v>
      </c>
      <c r="Q16" s="18"/>
      <c r="R16" s="19">
        <v>377.5</v>
      </c>
      <c r="S16" s="16">
        <f>"346,0354"</f>
        <v>0</v>
      </c>
      <c r="T16" s="16"/>
    </row>
    <row r="17" spans="1:20" ht="14.25">
      <c r="A17" s="20" t="s">
        <v>1573</v>
      </c>
      <c r="B17" s="20" t="s">
        <v>1574</v>
      </c>
      <c r="C17" s="20" t="s">
        <v>1575</v>
      </c>
      <c r="D17" s="20">
        <f>"0,9571"</f>
        <v>0</v>
      </c>
      <c r="E17" s="20" t="s">
        <v>15</v>
      </c>
      <c r="F17" s="20" t="s">
        <v>575</v>
      </c>
      <c r="G17" s="20" t="s">
        <v>30</v>
      </c>
      <c r="H17" s="20" t="s">
        <v>62</v>
      </c>
      <c r="I17" s="21"/>
      <c r="J17" s="21" t="s">
        <v>691</v>
      </c>
      <c r="K17" s="20" t="s">
        <v>540</v>
      </c>
      <c r="L17" s="21" t="s">
        <v>526</v>
      </c>
      <c r="M17" s="21"/>
      <c r="N17" s="20" t="s">
        <v>575</v>
      </c>
      <c r="O17" s="21" t="s">
        <v>30</v>
      </c>
      <c r="P17" s="20" t="s">
        <v>30</v>
      </c>
      <c r="Q17" s="21"/>
      <c r="R17" s="22">
        <v>335</v>
      </c>
      <c r="S17" s="20">
        <f>"320,6285"</f>
        <v>0</v>
      </c>
      <c r="T17" s="20"/>
    </row>
    <row r="19" spans="1:19" ht="16.5">
      <c r="A19" s="23" t="s">
        <v>25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20" ht="14.25">
      <c r="A20" s="27" t="s">
        <v>563</v>
      </c>
      <c r="B20" s="27" t="s">
        <v>564</v>
      </c>
      <c r="C20" s="27" t="s">
        <v>1443</v>
      </c>
      <c r="D20" s="27">
        <f>"0,8651"</f>
        <v>0</v>
      </c>
      <c r="E20" s="27" t="s">
        <v>223</v>
      </c>
      <c r="F20" s="27" t="s">
        <v>30</v>
      </c>
      <c r="G20" s="28" t="s">
        <v>36</v>
      </c>
      <c r="H20" s="27" t="s">
        <v>36</v>
      </c>
      <c r="I20" s="28"/>
      <c r="J20" s="27" t="s">
        <v>526</v>
      </c>
      <c r="K20" s="27" t="s">
        <v>328</v>
      </c>
      <c r="L20" s="27" t="s">
        <v>22</v>
      </c>
      <c r="M20" s="28"/>
      <c r="N20" s="27" t="s">
        <v>54</v>
      </c>
      <c r="O20" s="27" t="s">
        <v>486</v>
      </c>
      <c r="P20" s="27" t="s">
        <v>46</v>
      </c>
      <c r="Q20" s="28"/>
      <c r="R20" s="29">
        <v>400</v>
      </c>
      <c r="S20" s="27">
        <f>"346,0449"</f>
        <v>0</v>
      </c>
      <c r="T20" s="27"/>
    </row>
    <row r="22" spans="1:19" ht="16.5">
      <c r="A22" s="23" t="s">
        <v>202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20" ht="14.25">
      <c r="A23" s="27" t="s">
        <v>1576</v>
      </c>
      <c r="B23" s="27" t="s">
        <v>1577</v>
      </c>
      <c r="C23" s="27" t="s">
        <v>522</v>
      </c>
      <c r="D23" s="27">
        <f>"0,8328"</f>
        <v>0</v>
      </c>
      <c r="E23" s="27" t="s">
        <v>58</v>
      </c>
      <c r="F23" s="27" t="s">
        <v>93</v>
      </c>
      <c r="G23" s="28" t="s">
        <v>212</v>
      </c>
      <c r="H23" s="28" t="s">
        <v>212</v>
      </c>
      <c r="I23" s="28"/>
      <c r="J23" s="27" t="s">
        <v>16</v>
      </c>
      <c r="K23" s="28" t="s">
        <v>17</v>
      </c>
      <c r="L23" s="28"/>
      <c r="M23" s="28"/>
      <c r="N23" s="27" t="s">
        <v>40</v>
      </c>
      <c r="O23" s="28" t="s">
        <v>41</v>
      </c>
      <c r="P23" s="28" t="s">
        <v>41</v>
      </c>
      <c r="Q23" s="28"/>
      <c r="R23" s="29">
        <v>495</v>
      </c>
      <c r="S23" s="27">
        <f>"412,2607"</f>
        <v>0</v>
      </c>
      <c r="T23" s="27"/>
    </row>
    <row r="25" spans="1:19" ht="16.5">
      <c r="A25" s="23" t="s">
        <v>11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20" ht="14.25">
      <c r="A26" s="16" t="s">
        <v>595</v>
      </c>
      <c r="B26" s="16" t="s">
        <v>596</v>
      </c>
      <c r="C26" s="16" t="s">
        <v>1578</v>
      </c>
      <c r="D26" s="16">
        <f>"0,7942"</f>
        <v>0</v>
      </c>
      <c r="E26" s="16" t="s">
        <v>15</v>
      </c>
      <c r="F26" s="18" t="s">
        <v>156</v>
      </c>
      <c r="G26" s="16" t="s">
        <v>527</v>
      </c>
      <c r="H26" s="18" t="s">
        <v>328</v>
      </c>
      <c r="I26" s="18"/>
      <c r="J26" s="16" t="s">
        <v>328</v>
      </c>
      <c r="K26" s="16" t="s">
        <v>22</v>
      </c>
      <c r="L26" s="16" t="s">
        <v>23</v>
      </c>
      <c r="M26" s="18"/>
      <c r="N26" s="16" t="s">
        <v>1560</v>
      </c>
      <c r="O26" s="16" t="s">
        <v>16</v>
      </c>
      <c r="P26" s="16" t="s">
        <v>217</v>
      </c>
      <c r="Q26" s="18"/>
      <c r="R26" s="19">
        <v>280</v>
      </c>
      <c r="S26" s="16">
        <f>"222,3760"</f>
        <v>0</v>
      </c>
      <c r="T26" s="16"/>
    </row>
    <row r="27" spans="1:20" ht="14.25">
      <c r="A27" s="24" t="s">
        <v>1579</v>
      </c>
      <c r="B27" s="24" t="s">
        <v>1580</v>
      </c>
      <c r="C27" s="24" t="s">
        <v>1581</v>
      </c>
      <c r="D27" s="24">
        <f>"0,7484"</f>
        <v>0</v>
      </c>
      <c r="E27" s="24" t="s">
        <v>15</v>
      </c>
      <c r="F27" s="24" t="s">
        <v>36</v>
      </c>
      <c r="G27" s="25" t="s">
        <v>54</v>
      </c>
      <c r="H27" s="25" t="s">
        <v>678</v>
      </c>
      <c r="I27" s="25"/>
      <c r="J27" s="24" t="s">
        <v>555</v>
      </c>
      <c r="K27" s="24" t="s">
        <v>29</v>
      </c>
      <c r="L27" s="24" t="s">
        <v>35</v>
      </c>
      <c r="M27" s="25"/>
      <c r="N27" s="24" t="s">
        <v>486</v>
      </c>
      <c r="O27" s="25" t="s">
        <v>46</v>
      </c>
      <c r="P27" s="24" t="s">
        <v>47</v>
      </c>
      <c r="Q27" s="25"/>
      <c r="R27" s="26">
        <v>305</v>
      </c>
      <c r="S27" s="24">
        <f>"228,2620"</f>
        <v>0</v>
      </c>
      <c r="T27" s="24"/>
    </row>
    <row r="28" spans="1:20" ht="14.25">
      <c r="A28" s="20" t="s">
        <v>1582</v>
      </c>
      <c r="B28" s="20" t="s">
        <v>1583</v>
      </c>
      <c r="C28" s="20" t="s">
        <v>1584</v>
      </c>
      <c r="D28" s="20">
        <f>"1,6753"</f>
        <v>0</v>
      </c>
      <c r="E28" s="20" t="s">
        <v>412</v>
      </c>
      <c r="F28" s="21" t="s">
        <v>1356</v>
      </c>
      <c r="G28" s="21" t="s">
        <v>1356</v>
      </c>
      <c r="H28" s="20" t="s">
        <v>35</v>
      </c>
      <c r="I28" s="21"/>
      <c r="J28" s="20" t="s">
        <v>540</v>
      </c>
      <c r="K28" s="20" t="s">
        <v>526</v>
      </c>
      <c r="L28" s="21" t="s">
        <v>511</v>
      </c>
      <c r="M28" s="21"/>
      <c r="N28" s="20" t="s">
        <v>1500</v>
      </c>
      <c r="O28" s="21" t="s">
        <v>1031</v>
      </c>
      <c r="P28" s="20" t="s">
        <v>1031</v>
      </c>
      <c r="Q28" s="21"/>
      <c r="R28" s="22">
        <v>367.5</v>
      </c>
      <c r="S28" s="20">
        <f>"615,6581"</f>
        <v>0</v>
      </c>
      <c r="T28" s="20"/>
    </row>
    <row r="30" spans="1:19" ht="16.5">
      <c r="A30" s="23" t="s">
        <v>25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20" ht="14.25">
      <c r="A31" s="16" t="s">
        <v>1585</v>
      </c>
      <c r="B31" s="16" t="s">
        <v>1586</v>
      </c>
      <c r="C31" s="16" t="s">
        <v>1587</v>
      </c>
      <c r="D31" s="16">
        <f>"0,7102"</f>
        <v>0</v>
      </c>
      <c r="E31" s="16" t="s">
        <v>623</v>
      </c>
      <c r="F31" s="16" t="s">
        <v>167</v>
      </c>
      <c r="G31" s="16" t="s">
        <v>17</v>
      </c>
      <c r="H31" s="16" t="s">
        <v>18</v>
      </c>
      <c r="I31" s="18"/>
      <c r="J31" s="16" t="s">
        <v>526</v>
      </c>
      <c r="K31" s="16" t="s">
        <v>527</v>
      </c>
      <c r="L31" s="16" t="s">
        <v>512</v>
      </c>
      <c r="M31" s="18"/>
      <c r="N31" s="16" t="s">
        <v>54</v>
      </c>
      <c r="O31" s="16" t="s">
        <v>486</v>
      </c>
      <c r="P31" s="16" t="s">
        <v>46</v>
      </c>
      <c r="Q31" s="18"/>
      <c r="R31" s="19">
        <v>367.5</v>
      </c>
      <c r="S31" s="16">
        <f>"260,9985"</f>
        <v>0</v>
      </c>
      <c r="T31" s="16"/>
    </row>
    <row r="32" spans="1:20" ht="14.25">
      <c r="A32" s="24" t="s">
        <v>1588</v>
      </c>
      <c r="B32" s="24" t="s">
        <v>1589</v>
      </c>
      <c r="C32" s="24" t="s">
        <v>1590</v>
      </c>
      <c r="D32" s="24">
        <f>"0,7086"</f>
        <v>0</v>
      </c>
      <c r="E32" s="24" t="s">
        <v>623</v>
      </c>
      <c r="F32" s="24" t="s">
        <v>173</v>
      </c>
      <c r="G32" s="24" t="s">
        <v>29</v>
      </c>
      <c r="H32" s="24" t="s">
        <v>35</v>
      </c>
      <c r="I32" s="25"/>
      <c r="J32" s="24" t="s">
        <v>540</v>
      </c>
      <c r="K32" s="24" t="s">
        <v>526</v>
      </c>
      <c r="L32" s="25" t="s">
        <v>527</v>
      </c>
      <c r="M32" s="25"/>
      <c r="N32" s="24" t="s">
        <v>92</v>
      </c>
      <c r="O32" s="24" t="s">
        <v>240</v>
      </c>
      <c r="P32" s="25" t="s">
        <v>87</v>
      </c>
      <c r="Q32" s="25"/>
      <c r="R32" s="26">
        <v>385</v>
      </c>
      <c r="S32" s="24">
        <f>"272,8302"</f>
        <v>0</v>
      </c>
      <c r="T32" s="24"/>
    </row>
    <row r="33" spans="1:20" ht="14.25">
      <c r="A33" s="24" t="s">
        <v>1591</v>
      </c>
      <c r="B33" s="24" t="s">
        <v>1592</v>
      </c>
      <c r="C33" s="24" t="s">
        <v>1593</v>
      </c>
      <c r="D33" s="24">
        <f>"0,7012"</f>
        <v>0</v>
      </c>
      <c r="E33" s="24" t="s">
        <v>15</v>
      </c>
      <c r="F33" s="24" t="s">
        <v>47</v>
      </c>
      <c r="G33" s="25" t="s">
        <v>131</v>
      </c>
      <c r="H33" s="24" t="s">
        <v>131</v>
      </c>
      <c r="I33" s="25"/>
      <c r="J33" s="24" t="s">
        <v>18</v>
      </c>
      <c r="K33" s="25" t="s">
        <v>35</v>
      </c>
      <c r="L33" s="24" t="s">
        <v>35</v>
      </c>
      <c r="M33" s="25"/>
      <c r="N33" s="24" t="s">
        <v>699</v>
      </c>
      <c r="O33" s="24" t="s">
        <v>40</v>
      </c>
      <c r="P33" s="24" t="s">
        <v>78</v>
      </c>
      <c r="Q33" s="25"/>
      <c r="R33" s="26">
        <v>545</v>
      </c>
      <c r="S33" s="24">
        <f>"382,1268"</f>
        <v>0</v>
      </c>
      <c r="T33" s="24"/>
    </row>
    <row r="34" spans="1:20" ht="14.25">
      <c r="A34" s="24" t="s">
        <v>1594</v>
      </c>
      <c r="B34" s="24" t="s">
        <v>1595</v>
      </c>
      <c r="C34" s="24" t="s">
        <v>619</v>
      </c>
      <c r="D34" s="24">
        <f>"0,6906"</f>
        <v>0</v>
      </c>
      <c r="E34" s="24" t="s">
        <v>58</v>
      </c>
      <c r="F34" s="25" t="s">
        <v>73</v>
      </c>
      <c r="G34" s="24" t="s">
        <v>88</v>
      </c>
      <c r="H34" s="25" t="s">
        <v>40</v>
      </c>
      <c r="I34" s="25"/>
      <c r="J34" s="24" t="s">
        <v>54</v>
      </c>
      <c r="K34" s="24" t="s">
        <v>312</v>
      </c>
      <c r="L34" s="25" t="s">
        <v>46</v>
      </c>
      <c r="M34" s="25"/>
      <c r="N34" s="24" t="s">
        <v>78</v>
      </c>
      <c r="O34" s="24" t="s">
        <v>68</v>
      </c>
      <c r="P34" s="25" t="s">
        <v>333</v>
      </c>
      <c r="Q34" s="25"/>
      <c r="R34" s="26">
        <v>632.5</v>
      </c>
      <c r="S34" s="24">
        <f>"436,8045"</f>
        <v>0</v>
      </c>
      <c r="T34" s="24"/>
    </row>
    <row r="35" spans="1:20" ht="14.25">
      <c r="A35" s="24" t="s">
        <v>55</v>
      </c>
      <c r="B35" s="24" t="s">
        <v>56</v>
      </c>
      <c r="C35" s="24" t="s">
        <v>1015</v>
      </c>
      <c r="D35" s="24">
        <f>"0,6969"</f>
        <v>0</v>
      </c>
      <c r="E35" s="24" t="s">
        <v>58</v>
      </c>
      <c r="F35" s="24" t="s">
        <v>78</v>
      </c>
      <c r="G35" s="25" t="s">
        <v>41</v>
      </c>
      <c r="H35" s="25" t="s">
        <v>41</v>
      </c>
      <c r="I35" s="25"/>
      <c r="J35" s="24" t="s">
        <v>54</v>
      </c>
      <c r="K35" s="25" t="s">
        <v>486</v>
      </c>
      <c r="L35" s="25"/>
      <c r="M35" s="25"/>
      <c r="N35" s="25" t="s">
        <v>54</v>
      </c>
      <c r="O35" s="25" t="s">
        <v>54</v>
      </c>
      <c r="P35" s="25" t="s">
        <v>54</v>
      </c>
      <c r="Q35" s="25"/>
      <c r="R35" s="26">
        <v>0</v>
      </c>
      <c r="S35" s="24">
        <f>"0,0000"</f>
        <v>0</v>
      </c>
      <c r="T35" s="24"/>
    </row>
    <row r="36" spans="1:20" ht="14.25">
      <c r="A36" s="24" t="s">
        <v>1596</v>
      </c>
      <c r="B36" s="24" t="s">
        <v>1597</v>
      </c>
      <c r="C36" s="24" t="s">
        <v>1443</v>
      </c>
      <c r="D36" s="24">
        <f>"0,8765"</f>
        <v>0</v>
      </c>
      <c r="E36" s="24" t="s">
        <v>228</v>
      </c>
      <c r="F36" s="24" t="s">
        <v>895</v>
      </c>
      <c r="G36" s="24" t="s">
        <v>46</v>
      </c>
      <c r="H36" s="24" t="s">
        <v>812</v>
      </c>
      <c r="I36" s="25"/>
      <c r="J36" s="24" t="s">
        <v>217</v>
      </c>
      <c r="K36" s="24" t="s">
        <v>18</v>
      </c>
      <c r="L36" s="25" t="s">
        <v>29</v>
      </c>
      <c r="M36" s="25"/>
      <c r="N36" s="24" t="s">
        <v>1598</v>
      </c>
      <c r="O36" s="24" t="s">
        <v>40</v>
      </c>
      <c r="P36" s="24" t="s">
        <v>78</v>
      </c>
      <c r="Q36" s="24" t="s">
        <v>267</v>
      </c>
      <c r="R36" s="26">
        <v>527.5</v>
      </c>
      <c r="S36" s="24">
        <f>"462,3564"</f>
        <v>0</v>
      </c>
      <c r="T36" s="24"/>
    </row>
    <row r="37" spans="1:20" ht="14.25">
      <c r="A37" s="20" t="s">
        <v>1024</v>
      </c>
      <c r="B37" s="20" t="s">
        <v>1025</v>
      </c>
      <c r="C37" s="20" t="s">
        <v>1590</v>
      </c>
      <c r="D37" s="20">
        <f>"0,9149"</f>
        <v>0</v>
      </c>
      <c r="E37" s="20" t="s">
        <v>1027</v>
      </c>
      <c r="F37" s="21" t="s">
        <v>1112</v>
      </c>
      <c r="G37" s="21" t="s">
        <v>486</v>
      </c>
      <c r="H37" s="21" t="s">
        <v>486</v>
      </c>
      <c r="I37" s="21"/>
      <c r="J37" s="21" t="s">
        <v>16</v>
      </c>
      <c r="K37" s="21"/>
      <c r="L37" s="21"/>
      <c r="M37" s="21"/>
      <c r="N37" s="21" t="s">
        <v>699</v>
      </c>
      <c r="O37" s="21"/>
      <c r="P37" s="21"/>
      <c r="Q37" s="21"/>
      <c r="R37" s="22">
        <v>0</v>
      </c>
      <c r="S37" s="20">
        <f>"0,0000"</f>
        <v>0</v>
      </c>
      <c r="T37" s="20"/>
    </row>
    <row r="39" spans="1:19" ht="16.5">
      <c r="A39" s="23" t="s">
        <v>49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20" ht="14.25">
      <c r="A40" s="16" t="s">
        <v>1599</v>
      </c>
      <c r="B40" s="16" t="s">
        <v>1600</v>
      </c>
      <c r="C40" s="16" t="s">
        <v>1601</v>
      </c>
      <c r="D40" s="16">
        <f>"0,6832"</f>
        <v>0</v>
      </c>
      <c r="E40" s="16" t="s">
        <v>15</v>
      </c>
      <c r="F40" s="16" t="s">
        <v>169</v>
      </c>
      <c r="G40" s="16" t="s">
        <v>62</v>
      </c>
      <c r="H40" s="16" t="s">
        <v>774</v>
      </c>
      <c r="I40" s="18"/>
      <c r="J40" s="16" t="s">
        <v>22</v>
      </c>
      <c r="K40" s="16" t="s">
        <v>23</v>
      </c>
      <c r="L40" s="18" t="s">
        <v>16</v>
      </c>
      <c r="M40" s="18"/>
      <c r="N40" s="16" t="s">
        <v>175</v>
      </c>
      <c r="O40" s="16" t="s">
        <v>54</v>
      </c>
      <c r="P40" s="16" t="s">
        <v>246</v>
      </c>
      <c r="Q40" s="18"/>
      <c r="R40" s="19">
        <v>392.5</v>
      </c>
      <c r="S40" s="16">
        <f>"268,1560"</f>
        <v>0</v>
      </c>
      <c r="T40" s="16"/>
    </row>
    <row r="41" spans="1:20" ht="14.25">
      <c r="A41" s="24" t="s">
        <v>1602</v>
      </c>
      <c r="B41" s="24" t="s">
        <v>1603</v>
      </c>
      <c r="C41" s="24" t="s">
        <v>1604</v>
      </c>
      <c r="D41" s="24">
        <f>"0,6595"</f>
        <v>0</v>
      </c>
      <c r="E41" s="24" t="s">
        <v>15</v>
      </c>
      <c r="F41" s="24" t="s">
        <v>725</v>
      </c>
      <c r="G41" s="25" t="s">
        <v>74</v>
      </c>
      <c r="H41" s="24" t="s">
        <v>74</v>
      </c>
      <c r="I41" s="25"/>
      <c r="J41" s="24" t="s">
        <v>30</v>
      </c>
      <c r="K41" s="24" t="s">
        <v>36</v>
      </c>
      <c r="L41" s="24" t="s">
        <v>54</v>
      </c>
      <c r="M41" s="25"/>
      <c r="N41" s="24" t="s">
        <v>42</v>
      </c>
      <c r="O41" s="24" t="s">
        <v>282</v>
      </c>
      <c r="P41" s="25" t="s">
        <v>333</v>
      </c>
      <c r="Q41" s="25"/>
      <c r="R41" s="26">
        <v>630</v>
      </c>
      <c r="S41" s="24">
        <f>"415,4850"</f>
        <v>0</v>
      </c>
      <c r="T41" s="24"/>
    </row>
    <row r="42" spans="1:20" ht="14.25">
      <c r="A42" s="20" t="s">
        <v>1605</v>
      </c>
      <c r="B42" s="20" t="s">
        <v>1606</v>
      </c>
      <c r="C42" s="20" t="s">
        <v>1036</v>
      </c>
      <c r="D42" s="20">
        <f>"0,6446"</f>
        <v>0</v>
      </c>
      <c r="E42" s="20" t="s">
        <v>15</v>
      </c>
      <c r="F42" s="20" t="s">
        <v>1031</v>
      </c>
      <c r="G42" s="20" t="s">
        <v>93</v>
      </c>
      <c r="H42" s="20" t="s">
        <v>240</v>
      </c>
      <c r="I42" s="21"/>
      <c r="J42" s="20" t="s">
        <v>217</v>
      </c>
      <c r="K42" s="20" t="s">
        <v>218</v>
      </c>
      <c r="L42" s="21" t="s">
        <v>29</v>
      </c>
      <c r="M42" s="21"/>
      <c r="N42" s="20" t="s">
        <v>74</v>
      </c>
      <c r="O42" s="20" t="s">
        <v>83</v>
      </c>
      <c r="P42" s="21" t="s">
        <v>219</v>
      </c>
      <c r="Q42" s="21"/>
      <c r="R42" s="22">
        <v>522.5</v>
      </c>
      <c r="S42" s="20">
        <f>"336,8035"</f>
        <v>0</v>
      </c>
      <c r="T42" s="20"/>
    </row>
    <row r="44" spans="1:19" ht="16.5">
      <c r="A44" s="23" t="s">
        <v>63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20" ht="14.25">
      <c r="A45" s="24" t="s">
        <v>1607</v>
      </c>
      <c r="B45" s="24" t="s">
        <v>1608</v>
      </c>
      <c r="C45" s="24" t="s">
        <v>1609</v>
      </c>
      <c r="D45" s="24">
        <f>"0,6130"</f>
        <v>0</v>
      </c>
      <c r="E45" s="24" t="s">
        <v>211</v>
      </c>
      <c r="F45" s="24" t="s">
        <v>74</v>
      </c>
      <c r="G45" s="24" t="s">
        <v>78</v>
      </c>
      <c r="H45" s="24" t="s">
        <v>41</v>
      </c>
      <c r="I45" s="25"/>
      <c r="J45" s="24" t="s">
        <v>54</v>
      </c>
      <c r="K45" s="25" t="s">
        <v>92</v>
      </c>
      <c r="L45" s="24" t="s">
        <v>92</v>
      </c>
      <c r="M45" s="25"/>
      <c r="N45" s="24" t="s">
        <v>353</v>
      </c>
      <c r="O45" s="25" t="s">
        <v>298</v>
      </c>
      <c r="P45" s="25" t="s">
        <v>298</v>
      </c>
      <c r="Q45" s="25"/>
      <c r="R45" s="26" t="s">
        <v>1610</v>
      </c>
      <c r="S45" s="24" t="s">
        <v>1611</v>
      </c>
      <c r="T45" s="24"/>
    </row>
    <row r="46" spans="1:20" ht="14.25">
      <c r="A46" s="16" t="s">
        <v>1612</v>
      </c>
      <c r="B46" s="16" t="s">
        <v>1613</v>
      </c>
      <c r="C46" s="16" t="s">
        <v>1289</v>
      </c>
      <c r="D46" s="16">
        <f>"0,6149"</f>
        <v>0</v>
      </c>
      <c r="E46" s="16" t="s">
        <v>223</v>
      </c>
      <c r="F46" s="18" t="s">
        <v>47</v>
      </c>
      <c r="G46" s="18" t="s">
        <v>47</v>
      </c>
      <c r="H46" s="16" t="s">
        <v>47</v>
      </c>
      <c r="I46" s="18"/>
      <c r="J46" s="16" t="s">
        <v>47</v>
      </c>
      <c r="K46" s="18" t="s">
        <v>131</v>
      </c>
      <c r="L46" s="16" t="s">
        <v>131</v>
      </c>
      <c r="M46" s="18"/>
      <c r="N46" s="16" t="s">
        <v>42</v>
      </c>
      <c r="O46" s="18" t="s">
        <v>79</v>
      </c>
      <c r="P46" s="16" t="s">
        <v>79</v>
      </c>
      <c r="Q46" s="18"/>
      <c r="R46" s="19">
        <v>640</v>
      </c>
      <c r="S46" s="16">
        <f>"393,5360"</f>
        <v>0</v>
      </c>
      <c r="T46" s="16"/>
    </row>
    <row r="47" spans="1:20" ht="14.25">
      <c r="A47" s="20" t="s">
        <v>1614</v>
      </c>
      <c r="B47" s="20" t="s">
        <v>1615</v>
      </c>
      <c r="C47" s="20" t="s">
        <v>1234</v>
      </c>
      <c r="D47" s="20">
        <f>"0,7367"</f>
        <v>0</v>
      </c>
      <c r="E47" s="20" t="s">
        <v>15</v>
      </c>
      <c r="F47" s="21" t="s">
        <v>40</v>
      </c>
      <c r="G47" s="21" t="s">
        <v>40</v>
      </c>
      <c r="H47" s="20" t="s">
        <v>40</v>
      </c>
      <c r="I47" s="21"/>
      <c r="J47" s="20" t="s">
        <v>173</v>
      </c>
      <c r="K47" s="20" t="s">
        <v>18</v>
      </c>
      <c r="L47" s="20" t="s">
        <v>29</v>
      </c>
      <c r="M47" s="21"/>
      <c r="N47" s="20" t="s">
        <v>87</v>
      </c>
      <c r="O47" s="20" t="s">
        <v>40</v>
      </c>
      <c r="P47" s="20" t="s">
        <v>41</v>
      </c>
      <c r="Q47" s="21"/>
      <c r="R47" s="22">
        <v>580</v>
      </c>
      <c r="S47" s="20">
        <f>"427,2671"</f>
        <v>0</v>
      </c>
      <c r="T47" s="20"/>
    </row>
    <row r="49" spans="1:19" ht="16.5">
      <c r="A49" s="23" t="s">
        <v>69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20" ht="14.25">
      <c r="A50" s="16" t="s">
        <v>1616</v>
      </c>
      <c r="B50" s="16" t="s">
        <v>1617</v>
      </c>
      <c r="C50" s="16" t="s">
        <v>1297</v>
      </c>
      <c r="D50" s="16">
        <f>"0,5856"</f>
        <v>0</v>
      </c>
      <c r="E50" s="16" t="s">
        <v>15</v>
      </c>
      <c r="F50" s="16" t="s">
        <v>73</v>
      </c>
      <c r="G50" s="16" t="s">
        <v>74</v>
      </c>
      <c r="H50" s="16" t="s">
        <v>83</v>
      </c>
      <c r="I50" s="18"/>
      <c r="J50" s="16" t="s">
        <v>54</v>
      </c>
      <c r="K50" s="16" t="s">
        <v>246</v>
      </c>
      <c r="L50" s="18" t="s">
        <v>486</v>
      </c>
      <c r="M50" s="18"/>
      <c r="N50" s="18" t="s">
        <v>1618</v>
      </c>
      <c r="O50" s="16" t="s">
        <v>316</v>
      </c>
      <c r="P50" s="18" t="s">
        <v>429</v>
      </c>
      <c r="Q50" s="18"/>
      <c r="R50" s="19">
        <v>615</v>
      </c>
      <c r="S50" s="16">
        <f>"360,1440"</f>
        <v>0</v>
      </c>
      <c r="T50" s="16"/>
    </row>
    <row r="51" spans="1:20" ht="14.25">
      <c r="A51" s="24" t="s">
        <v>1619</v>
      </c>
      <c r="B51" s="24" t="s">
        <v>1620</v>
      </c>
      <c r="C51" s="24" t="s">
        <v>1621</v>
      </c>
      <c r="D51" s="24">
        <f>"0,5835"</f>
        <v>0</v>
      </c>
      <c r="E51" s="24" t="s">
        <v>15</v>
      </c>
      <c r="F51" s="24" t="s">
        <v>699</v>
      </c>
      <c r="G51" s="24" t="s">
        <v>40</v>
      </c>
      <c r="H51" s="25" t="s">
        <v>83</v>
      </c>
      <c r="I51" s="25"/>
      <c r="J51" s="24" t="s">
        <v>131</v>
      </c>
      <c r="K51" s="25" t="s">
        <v>87</v>
      </c>
      <c r="L51" s="25" t="s">
        <v>87</v>
      </c>
      <c r="M51" s="25"/>
      <c r="N51" s="25" t="s">
        <v>1622</v>
      </c>
      <c r="O51" s="25" t="s">
        <v>1622</v>
      </c>
      <c r="P51" s="25" t="s">
        <v>1622</v>
      </c>
      <c r="Q51" s="25"/>
      <c r="R51" s="26">
        <v>0</v>
      </c>
      <c r="S51" s="24">
        <f aca="true" t="shared" si="0" ref="S51:S52">"0,0000"</f>
        <v>0</v>
      </c>
      <c r="T51" s="24"/>
    </row>
    <row r="52" spans="1:20" ht="14.25">
      <c r="A52" s="24" t="s">
        <v>1623</v>
      </c>
      <c r="B52" s="24" t="s">
        <v>1624</v>
      </c>
      <c r="C52" s="24" t="s">
        <v>286</v>
      </c>
      <c r="D52" s="24">
        <f>"0,5828"</f>
        <v>0</v>
      </c>
      <c r="E52" s="24" t="s">
        <v>15</v>
      </c>
      <c r="F52" s="25" t="s">
        <v>74</v>
      </c>
      <c r="G52" s="24" t="s">
        <v>74</v>
      </c>
      <c r="H52" s="25" t="s">
        <v>78</v>
      </c>
      <c r="I52" s="25"/>
      <c r="J52" s="24" t="s">
        <v>1438</v>
      </c>
      <c r="K52" s="24" t="s">
        <v>47</v>
      </c>
      <c r="L52" s="25" t="s">
        <v>240</v>
      </c>
      <c r="M52" s="25"/>
      <c r="N52" s="25" t="s">
        <v>68</v>
      </c>
      <c r="O52" s="25" t="s">
        <v>79</v>
      </c>
      <c r="P52" s="25" t="s">
        <v>79</v>
      </c>
      <c r="Q52" s="25"/>
      <c r="R52" s="26">
        <v>0</v>
      </c>
      <c r="S52" s="24">
        <f t="shared" si="0"/>
        <v>0</v>
      </c>
      <c r="T52" s="24"/>
    </row>
    <row r="53" spans="1:20" ht="14.25">
      <c r="A53" s="24" t="s">
        <v>1060</v>
      </c>
      <c r="B53" s="24" t="s">
        <v>1061</v>
      </c>
      <c r="C53" s="24" t="s">
        <v>1625</v>
      </c>
      <c r="D53" s="24">
        <f>"0,5882"</f>
        <v>0</v>
      </c>
      <c r="E53" s="24" t="s">
        <v>223</v>
      </c>
      <c r="F53" s="24" t="s">
        <v>41</v>
      </c>
      <c r="G53" s="25" t="s">
        <v>68</v>
      </c>
      <c r="H53" s="25"/>
      <c r="I53" s="25"/>
      <c r="J53" s="24" t="s">
        <v>486</v>
      </c>
      <c r="K53" s="25" t="s">
        <v>46</v>
      </c>
      <c r="L53" s="24" t="s">
        <v>46</v>
      </c>
      <c r="M53" s="25"/>
      <c r="N53" s="25" t="s">
        <v>353</v>
      </c>
      <c r="O53" s="24" t="s">
        <v>98</v>
      </c>
      <c r="P53" s="24" t="s">
        <v>370</v>
      </c>
      <c r="Q53" s="25"/>
      <c r="R53" s="26" t="s">
        <v>1626</v>
      </c>
      <c r="S53" s="24" t="s">
        <v>1627</v>
      </c>
      <c r="T53" s="24"/>
    </row>
    <row r="54" spans="1:20" ht="14.25">
      <c r="A54" s="24" t="s">
        <v>1063</v>
      </c>
      <c r="B54" s="24" t="s">
        <v>1064</v>
      </c>
      <c r="C54" s="24" t="s">
        <v>758</v>
      </c>
      <c r="D54" s="24">
        <f>"0,5878"</f>
        <v>0</v>
      </c>
      <c r="E54" s="24" t="s">
        <v>223</v>
      </c>
      <c r="F54" s="24" t="s">
        <v>41</v>
      </c>
      <c r="G54" s="25" t="s">
        <v>68</v>
      </c>
      <c r="H54" s="25"/>
      <c r="I54" s="25"/>
      <c r="J54" s="24" t="s">
        <v>120</v>
      </c>
      <c r="K54" s="25" t="s">
        <v>54</v>
      </c>
      <c r="L54" s="24" t="s">
        <v>54</v>
      </c>
      <c r="M54" s="25"/>
      <c r="N54" s="24" t="s">
        <v>353</v>
      </c>
      <c r="O54" s="25" t="s">
        <v>370</v>
      </c>
      <c r="P54" s="24" t="s">
        <v>139</v>
      </c>
      <c r="Q54" s="25"/>
      <c r="R54" s="26" t="s">
        <v>1628</v>
      </c>
      <c r="S54" s="24" t="s">
        <v>1629</v>
      </c>
      <c r="T54" s="24"/>
    </row>
    <row r="55" spans="1:20" ht="14.25">
      <c r="A55" s="24" t="s">
        <v>1630</v>
      </c>
      <c r="B55" s="24" t="s">
        <v>1631</v>
      </c>
      <c r="C55" s="24" t="s">
        <v>1632</v>
      </c>
      <c r="D55" s="24">
        <f>"0,5846"</f>
        <v>0</v>
      </c>
      <c r="E55" s="24" t="s">
        <v>58</v>
      </c>
      <c r="F55" s="24" t="s">
        <v>41</v>
      </c>
      <c r="G55" s="25" t="s">
        <v>349</v>
      </c>
      <c r="H55" s="25"/>
      <c r="I55" s="25"/>
      <c r="J55" s="24" t="s">
        <v>486</v>
      </c>
      <c r="K55" s="24" t="s">
        <v>46</v>
      </c>
      <c r="L55" s="24" t="s">
        <v>653</v>
      </c>
      <c r="M55" s="25"/>
      <c r="N55" s="24" t="s">
        <v>333</v>
      </c>
      <c r="O55" s="24" t="s">
        <v>1456</v>
      </c>
      <c r="P55" s="25" t="s">
        <v>105</v>
      </c>
      <c r="Q55" s="25"/>
      <c r="R55" s="26" t="s">
        <v>1628</v>
      </c>
      <c r="S55" s="24" t="s">
        <v>1633</v>
      </c>
      <c r="T55" s="24"/>
    </row>
    <row r="56" spans="1:20" ht="14.25">
      <c r="A56" s="24" t="s">
        <v>1634</v>
      </c>
      <c r="B56" s="24" t="s">
        <v>1635</v>
      </c>
      <c r="C56" s="24" t="s">
        <v>749</v>
      </c>
      <c r="D56" s="24">
        <f>"0,5894"</f>
        <v>0</v>
      </c>
      <c r="E56" s="24" t="s">
        <v>15</v>
      </c>
      <c r="F56" s="24" t="s">
        <v>74</v>
      </c>
      <c r="G56" s="25" t="s">
        <v>83</v>
      </c>
      <c r="H56" s="24" t="s">
        <v>83</v>
      </c>
      <c r="I56" s="25"/>
      <c r="J56" s="24" t="s">
        <v>626</v>
      </c>
      <c r="K56" s="24" t="s">
        <v>47</v>
      </c>
      <c r="L56" s="24" t="s">
        <v>240</v>
      </c>
      <c r="M56" s="25"/>
      <c r="N56" s="24" t="s">
        <v>454</v>
      </c>
      <c r="O56" s="24" t="s">
        <v>79</v>
      </c>
      <c r="P56" s="24" t="s">
        <v>333</v>
      </c>
      <c r="Q56" s="25"/>
      <c r="R56" s="26">
        <v>690</v>
      </c>
      <c r="S56" s="24">
        <f>"406,6860"</f>
        <v>0</v>
      </c>
      <c r="T56" s="24"/>
    </row>
    <row r="57" spans="1:20" ht="14.25">
      <c r="A57" s="24" t="s">
        <v>1636</v>
      </c>
      <c r="B57" s="24" t="s">
        <v>1637</v>
      </c>
      <c r="C57" s="24" t="s">
        <v>1638</v>
      </c>
      <c r="D57" s="24">
        <f>"0,5980"</f>
        <v>0</v>
      </c>
      <c r="E57" s="24" t="s">
        <v>15</v>
      </c>
      <c r="F57" s="24" t="s">
        <v>699</v>
      </c>
      <c r="G57" s="24" t="s">
        <v>83</v>
      </c>
      <c r="H57" s="25" t="s">
        <v>316</v>
      </c>
      <c r="I57" s="25"/>
      <c r="J57" s="24" t="s">
        <v>54</v>
      </c>
      <c r="K57" s="24" t="s">
        <v>92</v>
      </c>
      <c r="L57" s="24" t="s">
        <v>46</v>
      </c>
      <c r="M57" s="25"/>
      <c r="N57" s="24" t="s">
        <v>40</v>
      </c>
      <c r="O57" s="24" t="s">
        <v>79</v>
      </c>
      <c r="P57" s="25" t="s">
        <v>104</v>
      </c>
      <c r="Q57" s="25"/>
      <c r="R57" s="26">
        <v>665</v>
      </c>
      <c r="S57" s="24">
        <f>"397,6700"</f>
        <v>0</v>
      </c>
      <c r="T57" s="24"/>
    </row>
    <row r="58" spans="1:20" ht="14.25">
      <c r="A58" s="24" t="s">
        <v>1639</v>
      </c>
      <c r="B58" s="24" t="s">
        <v>1640</v>
      </c>
      <c r="C58" s="24" t="s">
        <v>1463</v>
      </c>
      <c r="D58" s="24">
        <f>"0,6227"</f>
        <v>0</v>
      </c>
      <c r="E58" s="24" t="s">
        <v>15</v>
      </c>
      <c r="F58" s="24" t="s">
        <v>40</v>
      </c>
      <c r="G58" s="24" t="s">
        <v>78</v>
      </c>
      <c r="H58" s="24" t="s">
        <v>41</v>
      </c>
      <c r="I58" s="25"/>
      <c r="J58" s="24" t="s">
        <v>36</v>
      </c>
      <c r="K58" s="24" t="s">
        <v>672</v>
      </c>
      <c r="L58" s="24" t="s">
        <v>54</v>
      </c>
      <c r="M58" s="25"/>
      <c r="N58" s="24" t="s">
        <v>40</v>
      </c>
      <c r="O58" s="24" t="s">
        <v>41</v>
      </c>
      <c r="P58" s="24" t="s">
        <v>42</v>
      </c>
      <c r="Q58" s="25"/>
      <c r="R58" s="26">
        <v>640</v>
      </c>
      <c r="S58" s="24">
        <f>"398,5263"</f>
        <v>0</v>
      </c>
      <c r="T58" s="24"/>
    </row>
    <row r="59" spans="1:20" ht="14.25">
      <c r="A59" s="24" t="s">
        <v>89</v>
      </c>
      <c r="B59" s="24" t="s">
        <v>90</v>
      </c>
      <c r="C59" s="24" t="s">
        <v>1625</v>
      </c>
      <c r="D59" s="24">
        <f>"0,7883"</f>
        <v>0</v>
      </c>
      <c r="E59" s="24" t="s">
        <v>15</v>
      </c>
      <c r="F59" s="24" t="s">
        <v>1044</v>
      </c>
      <c r="G59" s="24" t="s">
        <v>212</v>
      </c>
      <c r="H59" s="25" t="s">
        <v>349</v>
      </c>
      <c r="I59" s="25"/>
      <c r="J59" s="24" t="s">
        <v>173</v>
      </c>
      <c r="K59" s="24" t="s">
        <v>18</v>
      </c>
      <c r="L59" s="24" t="s">
        <v>29</v>
      </c>
      <c r="M59" s="25"/>
      <c r="N59" s="24" t="s">
        <v>74</v>
      </c>
      <c r="O59" s="24" t="s">
        <v>78</v>
      </c>
      <c r="P59" s="25" t="s">
        <v>349</v>
      </c>
      <c r="Q59" s="25"/>
      <c r="R59" s="26">
        <v>545</v>
      </c>
      <c r="S59" s="24">
        <f>"429,5990"</f>
        <v>0</v>
      </c>
      <c r="T59" s="24"/>
    </row>
    <row r="60" spans="1:20" ht="14.25">
      <c r="A60" s="20" t="s">
        <v>1641</v>
      </c>
      <c r="B60" s="20" t="s">
        <v>1642</v>
      </c>
      <c r="C60" s="20" t="s">
        <v>1643</v>
      </c>
      <c r="D60" s="20">
        <f>"0,7799"</f>
        <v>0</v>
      </c>
      <c r="E60" s="20" t="s">
        <v>15</v>
      </c>
      <c r="F60" s="21" t="s">
        <v>895</v>
      </c>
      <c r="G60" s="20" t="s">
        <v>54</v>
      </c>
      <c r="H60" s="20" t="s">
        <v>486</v>
      </c>
      <c r="I60" s="21"/>
      <c r="J60" s="20" t="s">
        <v>29</v>
      </c>
      <c r="K60" s="20" t="s">
        <v>1226</v>
      </c>
      <c r="L60" s="21" t="s">
        <v>62</v>
      </c>
      <c r="M60" s="21"/>
      <c r="N60" s="20" t="s">
        <v>18</v>
      </c>
      <c r="O60" s="20" t="s">
        <v>83</v>
      </c>
      <c r="P60" s="20" t="s">
        <v>219</v>
      </c>
      <c r="Q60" s="21"/>
      <c r="R60" s="22">
        <v>520</v>
      </c>
      <c r="S60" s="20">
        <f>"405,5725"</f>
        <v>0</v>
      </c>
      <c r="T60" s="20"/>
    </row>
    <row r="62" spans="1:19" ht="16.5">
      <c r="A62" s="23" t="s">
        <v>94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20" ht="14.25">
      <c r="A63" s="16" t="s">
        <v>1644</v>
      </c>
      <c r="B63" s="16" t="s">
        <v>1645</v>
      </c>
      <c r="C63" s="16" t="s">
        <v>293</v>
      </c>
      <c r="D63" s="16">
        <f>"0,5627"</f>
        <v>0</v>
      </c>
      <c r="E63" s="16" t="s">
        <v>15</v>
      </c>
      <c r="F63" s="16" t="s">
        <v>1084</v>
      </c>
      <c r="G63" s="16" t="s">
        <v>79</v>
      </c>
      <c r="H63" s="16" t="s">
        <v>333</v>
      </c>
      <c r="I63" s="18"/>
      <c r="J63" s="16" t="s">
        <v>40</v>
      </c>
      <c r="K63" s="16" t="s">
        <v>78</v>
      </c>
      <c r="L63" s="18"/>
      <c r="M63" s="18"/>
      <c r="N63" s="16" t="s">
        <v>1344</v>
      </c>
      <c r="O63" s="16" t="s">
        <v>362</v>
      </c>
      <c r="P63" s="18" t="s">
        <v>1646</v>
      </c>
      <c r="Q63" s="18"/>
      <c r="R63" s="19">
        <v>835</v>
      </c>
      <c r="S63" s="16">
        <f>"469,8128"</f>
        <v>0</v>
      </c>
      <c r="T63" s="16"/>
    </row>
    <row r="64" spans="1:20" ht="14.25">
      <c r="A64" s="24" t="s">
        <v>1647</v>
      </c>
      <c r="B64" s="24" t="s">
        <v>1648</v>
      </c>
      <c r="C64" s="24" t="s">
        <v>1649</v>
      </c>
      <c r="D64" s="24">
        <f>"0,5716"</f>
        <v>0</v>
      </c>
      <c r="E64" s="24" t="s">
        <v>15</v>
      </c>
      <c r="F64" s="25" t="s">
        <v>1456</v>
      </c>
      <c r="G64" s="24" t="s">
        <v>1456</v>
      </c>
      <c r="H64" s="25" t="s">
        <v>98</v>
      </c>
      <c r="I64" s="25"/>
      <c r="J64" s="24" t="s">
        <v>47</v>
      </c>
      <c r="K64" s="25" t="s">
        <v>224</v>
      </c>
      <c r="L64" s="25" t="s">
        <v>224</v>
      </c>
      <c r="M64" s="25"/>
      <c r="N64" s="24" t="s">
        <v>99</v>
      </c>
      <c r="O64" s="24" t="s">
        <v>364</v>
      </c>
      <c r="P64" s="25" t="s">
        <v>435</v>
      </c>
      <c r="Q64" s="25"/>
      <c r="R64" s="26">
        <v>820</v>
      </c>
      <c r="S64" s="24">
        <f>"468,7120"</f>
        <v>0</v>
      </c>
      <c r="T64" s="24"/>
    </row>
    <row r="65" spans="1:20" ht="14.25">
      <c r="A65" s="24" t="s">
        <v>1650</v>
      </c>
      <c r="B65" s="24" t="s">
        <v>1651</v>
      </c>
      <c r="C65" s="24" t="s">
        <v>1652</v>
      </c>
      <c r="D65" s="24">
        <f>"0,5776"</f>
        <v>0</v>
      </c>
      <c r="E65" s="24" t="s">
        <v>15</v>
      </c>
      <c r="F65" s="24" t="s">
        <v>78</v>
      </c>
      <c r="G65" s="24" t="s">
        <v>41</v>
      </c>
      <c r="H65" s="25" t="s">
        <v>42</v>
      </c>
      <c r="I65" s="25"/>
      <c r="J65" s="25" t="s">
        <v>88</v>
      </c>
      <c r="K65" s="25" t="s">
        <v>88</v>
      </c>
      <c r="L65" s="25"/>
      <c r="M65" s="25"/>
      <c r="N65" s="25"/>
      <c r="O65" s="25"/>
      <c r="P65" s="25"/>
      <c r="Q65" s="25"/>
      <c r="R65" s="26">
        <v>0</v>
      </c>
      <c r="S65" s="24">
        <f aca="true" t="shared" si="1" ref="S65:S66">"0,0000"</f>
        <v>0</v>
      </c>
      <c r="T65" s="24"/>
    </row>
    <row r="66" spans="1:20" ht="14.25">
      <c r="A66" s="24" t="s">
        <v>1092</v>
      </c>
      <c r="B66" s="24" t="s">
        <v>1093</v>
      </c>
      <c r="C66" s="24" t="s">
        <v>1094</v>
      </c>
      <c r="D66" s="24">
        <f>"0,5644"</f>
        <v>0</v>
      </c>
      <c r="E66" s="24" t="s">
        <v>223</v>
      </c>
      <c r="F66" s="25" t="s">
        <v>354</v>
      </c>
      <c r="G66" s="25" t="s">
        <v>353</v>
      </c>
      <c r="H66" s="25" t="s">
        <v>353</v>
      </c>
      <c r="I66" s="25"/>
      <c r="J66" s="25" t="s">
        <v>1438</v>
      </c>
      <c r="K66" s="25" t="s">
        <v>349</v>
      </c>
      <c r="L66" s="25"/>
      <c r="M66" s="25"/>
      <c r="N66" s="25"/>
      <c r="O66" s="25"/>
      <c r="P66" s="25"/>
      <c r="Q66" s="25"/>
      <c r="R66" s="26">
        <v>0</v>
      </c>
      <c r="S66" s="24">
        <f t="shared" si="1"/>
        <v>0</v>
      </c>
      <c r="T66" s="24"/>
    </row>
    <row r="67" spans="1:20" ht="14.25">
      <c r="A67" s="24" t="s">
        <v>1653</v>
      </c>
      <c r="B67" s="24" t="s">
        <v>1654</v>
      </c>
      <c r="C67" s="24" t="s">
        <v>1655</v>
      </c>
      <c r="D67" s="24">
        <f>"0,5811"</f>
        <v>0</v>
      </c>
      <c r="E67" s="24" t="s">
        <v>15</v>
      </c>
      <c r="F67" s="24" t="s">
        <v>1656</v>
      </c>
      <c r="G67" s="24" t="s">
        <v>68</v>
      </c>
      <c r="H67" s="25" t="s">
        <v>282</v>
      </c>
      <c r="I67" s="25"/>
      <c r="J67" s="24" t="s">
        <v>54</v>
      </c>
      <c r="K67" s="24" t="s">
        <v>486</v>
      </c>
      <c r="L67" s="25" t="s">
        <v>92</v>
      </c>
      <c r="M67" s="25"/>
      <c r="N67" s="24" t="s">
        <v>454</v>
      </c>
      <c r="O67" s="24" t="s">
        <v>283</v>
      </c>
      <c r="P67" s="24" t="s">
        <v>104</v>
      </c>
      <c r="Q67" s="25"/>
      <c r="R67" s="26">
        <v>710</v>
      </c>
      <c r="S67" s="24">
        <f>"412,6129"</f>
        <v>0</v>
      </c>
      <c r="T67" s="24"/>
    </row>
    <row r="68" spans="1:20" ht="14.25">
      <c r="A68" s="24" t="s">
        <v>1657</v>
      </c>
      <c r="B68" s="24" t="s">
        <v>1658</v>
      </c>
      <c r="C68" s="24" t="s">
        <v>1659</v>
      </c>
      <c r="D68" s="24">
        <f>"0,6356"</f>
        <v>0</v>
      </c>
      <c r="E68" s="24" t="s">
        <v>324</v>
      </c>
      <c r="F68" s="25" t="s">
        <v>1044</v>
      </c>
      <c r="G68" s="24" t="s">
        <v>131</v>
      </c>
      <c r="H68" s="25"/>
      <c r="I68" s="25"/>
      <c r="J68" s="24" t="s">
        <v>486</v>
      </c>
      <c r="K68" s="25" t="s">
        <v>92</v>
      </c>
      <c r="L68" s="25" t="s">
        <v>92</v>
      </c>
      <c r="M68" s="25"/>
      <c r="N68" s="24" t="s">
        <v>47</v>
      </c>
      <c r="O68" s="24" t="s">
        <v>87</v>
      </c>
      <c r="P68" s="24" t="s">
        <v>88</v>
      </c>
      <c r="Q68" s="25"/>
      <c r="R68" s="26">
        <v>560</v>
      </c>
      <c r="S68" s="24">
        <f>"355,9240"</f>
        <v>0</v>
      </c>
      <c r="T68" s="24"/>
    </row>
    <row r="69" spans="1:20" ht="14.25">
      <c r="A69" s="24" t="s">
        <v>1660</v>
      </c>
      <c r="B69" s="24" t="s">
        <v>1661</v>
      </c>
      <c r="C69" s="24" t="s">
        <v>1662</v>
      </c>
      <c r="D69" s="24">
        <f>"0,6525"</f>
        <v>0</v>
      </c>
      <c r="E69" s="24" t="s">
        <v>15</v>
      </c>
      <c r="F69" s="24" t="s">
        <v>41</v>
      </c>
      <c r="G69" s="24" t="s">
        <v>68</v>
      </c>
      <c r="H69" s="25" t="s">
        <v>283</v>
      </c>
      <c r="I69" s="25"/>
      <c r="J69" s="24" t="s">
        <v>30</v>
      </c>
      <c r="K69" s="24" t="s">
        <v>36</v>
      </c>
      <c r="L69" s="25" t="s">
        <v>349</v>
      </c>
      <c r="M69" s="25"/>
      <c r="N69" s="24" t="s">
        <v>41</v>
      </c>
      <c r="O69" s="25"/>
      <c r="P69" s="25"/>
      <c r="Q69" s="25"/>
      <c r="R69" s="26">
        <v>640</v>
      </c>
      <c r="S69" s="24">
        <f>"417,5757"</f>
        <v>0</v>
      </c>
      <c r="T69" s="24"/>
    </row>
    <row r="70" spans="1:20" ht="14.25">
      <c r="A70" s="20" t="s">
        <v>325</v>
      </c>
      <c r="B70" s="20" t="s">
        <v>326</v>
      </c>
      <c r="C70" s="20" t="s">
        <v>109</v>
      </c>
      <c r="D70" s="20">
        <f>"1,0504"</f>
        <v>0</v>
      </c>
      <c r="E70" s="20" t="s">
        <v>327</v>
      </c>
      <c r="F70" s="21" t="s">
        <v>523</v>
      </c>
      <c r="G70" s="21" t="s">
        <v>523</v>
      </c>
      <c r="H70" s="20" t="s">
        <v>523</v>
      </c>
      <c r="I70" s="21"/>
      <c r="J70" s="20" t="s">
        <v>328</v>
      </c>
      <c r="K70" s="21" t="s">
        <v>349</v>
      </c>
      <c r="L70" s="21"/>
      <c r="M70" s="21"/>
      <c r="N70" s="21" t="s">
        <v>634</v>
      </c>
      <c r="O70" s="20" t="s">
        <v>30</v>
      </c>
      <c r="P70" s="21" t="s">
        <v>349</v>
      </c>
      <c r="Q70" s="21"/>
      <c r="R70" s="22">
        <v>272.5</v>
      </c>
      <c r="S70" s="20">
        <f>"286,2215"</f>
        <v>0</v>
      </c>
      <c r="T70" s="20"/>
    </row>
    <row r="72" spans="1:19" ht="16.5">
      <c r="A72" s="23" t="s">
        <v>127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20" ht="14.25">
      <c r="A73" s="16" t="s">
        <v>1663</v>
      </c>
      <c r="B73" s="16" t="s">
        <v>1664</v>
      </c>
      <c r="C73" s="16" t="s">
        <v>866</v>
      </c>
      <c r="D73" s="16">
        <f>"0,5454"</f>
        <v>0</v>
      </c>
      <c r="E73" s="16" t="s">
        <v>58</v>
      </c>
      <c r="F73" s="18" t="s">
        <v>100</v>
      </c>
      <c r="G73" s="16" t="s">
        <v>100</v>
      </c>
      <c r="H73" s="16" t="s">
        <v>1665</v>
      </c>
      <c r="I73" s="18"/>
      <c r="J73" s="16" t="s">
        <v>316</v>
      </c>
      <c r="K73" s="16" t="s">
        <v>429</v>
      </c>
      <c r="L73" s="16" t="s">
        <v>279</v>
      </c>
      <c r="M73" s="18"/>
      <c r="N73" s="16" t="s">
        <v>353</v>
      </c>
      <c r="O73" s="16" t="s">
        <v>298</v>
      </c>
      <c r="P73" s="16" t="s">
        <v>1666</v>
      </c>
      <c r="Q73" s="18"/>
      <c r="R73" s="19">
        <v>922.5</v>
      </c>
      <c r="S73" s="16">
        <f>"503,1315"</f>
        <v>0</v>
      </c>
      <c r="T73" s="16"/>
    </row>
    <row r="74" spans="1:20" ht="14.25">
      <c r="A74" s="24" t="s">
        <v>1667</v>
      </c>
      <c r="B74" s="24" t="s">
        <v>1668</v>
      </c>
      <c r="C74" s="24" t="s">
        <v>461</v>
      </c>
      <c r="D74" s="24">
        <f>"0,5494"</f>
        <v>0</v>
      </c>
      <c r="E74" s="24" t="s">
        <v>15</v>
      </c>
      <c r="F74" s="24" t="s">
        <v>354</v>
      </c>
      <c r="G74" s="24" t="s">
        <v>370</v>
      </c>
      <c r="H74" s="25" t="s">
        <v>472</v>
      </c>
      <c r="I74" s="25"/>
      <c r="J74" s="24" t="s">
        <v>88</v>
      </c>
      <c r="K74" s="24" t="s">
        <v>83</v>
      </c>
      <c r="L74" s="25" t="s">
        <v>78</v>
      </c>
      <c r="M74" s="25"/>
      <c r="N74" s="24" t="s">
        <v>353</v>
      </c>
      <c r="O74" s="24" t="s">
        <v>370</v>
      </c>
      <c r="P74" s="25" t="s">
        <v>472</v>
      </c>
      <c r="Q74" s="25"/>
      <c r="R74" s="26">
        <v>865</v>
      </c>
      <c r="S74" s="24">
        <f>"475,2310"</f>
        <v>0</v>
      </c>
      <c r="T74" s="24"/>
    </row>
    <row r="75" spans="1:20" ht="14.25">
      <c r="A75" s="24" t="s">
        <v>1121</v>
      </c>
      <c r="B75" s="24" t="s">
        <v>1122</v>
      </c>
      <c r="C75" s="24" t="s">
        <v>1669</v>
      </c>
      <c r="D75" s="24">
        <f>"0,5514"</f>
        <v>0</v>
      </c>
      <c r="E75" s="24" t="s">
        <v>223</v>
      </c>
      <c r="F75" s="24" t="s">
        <v>40</v>
      </c>
      <c r="G75" s="24" t="s">
        <v>78</v>
      </c>
      <c r="H75" s="25" t="s">
        <v>316</v>
      </c>
      <c r="I75" s="25"/>
      <c r="J75" s="24" t="s">
        <v>47</v>
      </c>
      <c r="K75" s="24" t="s">
        <v>131</v>
      </c>
      <c r="L75" s="25" t="s">
        <v>87</v>
      </c>
      <c r="M75" s="25"/>
      <c r="N75" s="25" t="s">
        <v>353</v>
      </c>
      <c r="O75" s="24" t="s">
        <v>353</v>
      </c>
      <c r="P75" s="25" t="s">
        <v>362</v>
      </c>
      <c r="Q75" s="25"/>
      <c r="R75" s="26">
        <v>720</v>
      </c>
      <c r="S75" s="24">
        <f>"397,0080"</f>
        <v>0</v>
      </c>
      <c r="T75" s="24"/>
    </row>
    <row r="76" spans="1:20" ht="14.25">
      <c r="A76" s="24" t="s">
        <v>1670</v>
      </c>
      <c r="B76" s="24" t="s">
        <v>1671</v>
      </c>
      <c r="C76" s="24" t="s">
        <v>1672</v>
      </c>
      <c r="D76" s="24">
        <f>"0,5545"</f>
        <v>0</v>
      </c>
      <c r="E76" s="24" t="s">
        <v>58</v>
      </c>
      <c r="F76" s="24" t="s">
        <v>333</v>
      </c>
      <c r="G76" s="25" t="s">
        <v>353</v>
      </c>
      <c r="H76" s="25" t="s">
        <v>353</v>
      </c>
      <c r="I76" s="25"/>
      <c r="J76" s="24" t="s">
        <v>88</v>
      </c>
      <c r="K76" s="25" t="s">
        <v>40</v>
      </c>
      <c r="L76" s="25" t="s">
        <v>40</v>
      </c>
      <c r="M76" s="25"/>
      <c r="N76" s="25" t="s">
        <v>474</v>
      </c>
      <c r="O76" s="25" t="s">
        <v>474</v>
      </c>
      <c r="P76" s="25" t="s">
        <v>474</v>
      </c>
      <c r="Q76" s="25"/>
      <c r="R76" s="26">
        <v>0</v>
      </c>
      <c r="S76" s="24">
        <f aca="true" t="shared" si="2" ref="S76:S77">"0,0000"</f>
        <v>0</v>
      </c>
      <c r="T76" s="24"/>
    </row>
    <row r="77" spans="1:20" ht="14.25">
      <c r="A77" s="24" t="s">
        <v>1125</v>
      </c>
      <c r="B77" s="24" t="s">
        <v>1126</v>
      </c>
      <c r="C77" s="24" t="s">
        <v>1673</v>
      </c>
      <c r="D77" s="24">
        <f>"0,5490"</f>
        <v>0</v>
      </c>
      <c r="E77" s="24" t="s">
        <v>223</v>
      </c>
      <c r="F77" s="25" t="s">
        <v>79</v>
      </c>
      <c r="G77" s="25" t="s">
        <v>79</v>
      </c>
      <c r="H77" s="25" t="s">
        <v>79</v>
      </c>
      <c r="I77" s="25"/>
      <c r="J77" s="25" t="s">
        <v>627</v>
      </c>
      <c r="K77" s="25" t="s">
        <v>349</v>
      </c>
      <c r="L77" s="25"/>
      <c r="M77" s="25"/>
      <c r="N77" s="25"/>
      <c r="O77" s="25"/>
      <c r="P77" s="25"/>
      <c r="Q77" s="25"/>
      <c r="R77" s="26">
        <v>0</v>
      </c>
      <c r="S77" s="24">
        <f t="shared" si="2"/>
        <v>0</v>
      </c>
      <c r="T77" s="24"/>
    </row>
    <row r="78" spans="1:20" ht="14.25">
      <c r="A78" s="24" t="s">
        <v>1674</v>
      </c>
      <c r="B78" s="24" t="s">
        <v>1675</v>
      </c>
      <c r="C78" s="24" t="s">
        <v>1676</v>
      </c>
      <c r="D78" s="24">
        <f>"0,5536"</f>
        <v>0</v>
      </c>
      <c r="E78" s="24" t="s">
        <v>15</v>
      </c>
      <c r="F78" s="24" t="s">
        <v>36</v>
      </c>
      <c r="G78" s="25" t="s">
        <v>246</v>
      </c>
      <c r="H78" s="25" t="s">
        <v>246</v>
      </c>
      <c r="I78" s="25"/>
      <c r="J78" s="24" t="s">
        <v>54</v>
      </c>
      <c r="K78" s="24" t="s">
        <v>92</v>
      </c>
      <c r="L78" s="24" t="s">
        <v>93</v>
      </c>
      <c r="M78" s="25"/>
      <c r="N78" s="24" t="s">
        <v>54</v>
      </c>
      <c r="O78" s="24" t="s">
        <v>93</v>
      </c>
      <c r="P78" s="24" t="s">
        <v>131</v>
      </c>
      <c r="Q78" s="25"/>
      <c r="R78" s="26">
        <v>505</v>
      </c>
      <c r="S78" s="24">
        <f>"279,5584"</f>
        <v>0</v>
      </c>
      <c r="T78" s="24" t="s">
        <v>1677</v>
      </c>
    </row>
    <row r="79" spans="1:20" ht="14.25">
      <c r="A79" s="24" t="s">
        <v>846</v>
      </c>
      <c r="B79" s="24" t="s">
        <v>847</v>
      </c>
      <c r="C79" s="24" t="s">
        <v>1678</v>
      </c>
      <c r="D79" s="24">
        <f>"0,6054"</f>
        <v>0</v>
      </c>
      <c r="E79" s="24" t="s">
        <v>15</v>
      </c>
      <c r="F79" s="25" t="s">
        <v>1084</v>
      </c>
      <c r="G79" s="25" t="s">
        <v>42</v>
      </c>
      <c r="H79" s="25" t="s">
        <v>42</v>
      </c>
      <c r="I79" s="25"/>
      <c r="J79" s="25" t="s">
        <v>725</v>
      </c>
      <c r="K79" s="25"/>
      <c r="L79" s="25"/>
      <c r="M79" s="25"/>
      <c r="N79" s="25" t="s">
        <v>110</v>
      </c>
      <c r="O79" s="25"/>
      <c r="P79" s="25"/>
      <c r="Q79" s="25"/>
      <c r="R79" s="26">
        <v>0</v>
      </c>
      <c r="S79" s="24">
        <f>"0,0000"</f>
        <v>0</v>
      </c>
      <c r="T79" s="24"/>
    </row>
    <row r="80" spans="1:20" ht="14.25">
      <c r="A80" s="20" t="s">
        <v>1679</v>
      </c>
      <c r="B80" s="20" t="s">
        <v>1680</v>
      </c>
      <c r="C80" s="20" t="s">
        <v>1681</v>
      </c>
      <c r="D80" s="20">
        <f>"0,7190"</f>
        <v>0</v>
      </c>
      <c r="E80" s="20" t="s">
        <v>15</v>
      </c>
      <c r="F80" s="20" t="s">
        <v>46</v>
      </c>
      <c r="G80" s="20" t="s">
        <v>93</v>
      </c>
      <c r="H80" s="20" t="s">
        <v>240</v>
      </c>
      <c r="I80" s="21"/>
      <c r="J80" s="20" t="s">
        <v>54</v>
      </c>
      <c r="K80" s="20" t="s">
        <v>486</v>
      </c>
      <c r="L80" s="20" t="s">
        <v>92</v>
      </c>
      <c r="M80" s="21"/>
      <c r="N80" s="20" t="s">
        <v>46</v>
      </c>
      <c r="O80" s="20" t="s">
        <v>47</v>
      </c>
      <c r="P80" s="20" t="s">
        <v>212</v>
      </c>
      <c r="Q80" s="21"/>
      <c r="R80" s="22">
        <v>545</v>
      </c>
      <c r="S80" s="20">
        <f>"391,8321"</f>
        <v>0</v>
      </c>
      <c r="T80" s="20"/>
    </row>
    <row r="82" spans="1:19" ht="16.5">
      <c r="A82" s="23" t="s">
        <v>135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20" ht="14.25">
      <c r="A83" s="16" t="s">
        <v>877</v>
      </c>
      <c r="B83" s="16" t="s">
        <v>878</v>
      </c>
      <c r="C83" s="16" t="s">
        <v>1148</v>
      </c>
      <c r="D83" s="16">
        <f>"0,5380"</f>
        <v>0</v>
      </c>
      <c r="E83" s="16" t="s">
        <v>15</v>
      </c>
      <c r="F83" s="16" t="s">
        <v>333</v>
      </c>
      <c r="G83" s="18" t="s">
        <v>104</v>
      </c>
      <c r="H83" s="18" t="s">
        <v>349</v>
      </c>
      <c r="I83" s="18"/>
      <c r="J83" s="16" t="s">
        <v>88</v>
      </c>
      <c r="K83" s="16" t="s">
        <v>40</v>
      </c>
      <c r="L83" s="16" t="s">
        <v>83</v>
      </c>
      <c r="M83" s="18"/>
      <c r="N83" s="16" t="s">
        <v>353</v>
      </c>
      <c r="O83" s="16" t="s">
        <v>98</v>
      </c>
      <c r="P83" s="18" t="s">
        <v>370</v>
      </c>
      <c r="Q83" s="18"/>
      <c r="R83" s="19">
        <v>815</v>
      </c>
      <c r="S83" s="16">
        <f>"438,4537"</f>
        <v>0</v>
      </c>
      <c r="T83" s="16" t="s">
        <v>882</v>
      </c>
    </row>
    <row r="84" spans="1:20" ht="14.25">
      <c r="A84" s="24" t="s">
        <v>1682</v>
      </c>
      <c r="B84" s="24" t="s">
        <v>1683</v>
      </c>
      <c r="C84" s="24" t="s">
        <v>1684</v>
      </c>
      <c r="D84" s="24">
        <f>"0,5438"</f>
        <v>0</v>
      </c>
      <c r="E84" s="24" t="s">
        <v>15</v>
      </c>
      <c r="F84" s="24" t="s">
        <v>1656</v>
      </c>
      <c r="G84" s="24" t="s">
        <v>68</v>
      </c>
      <c r="H84" s="24" t="s">
        <v>282</v>
      </c>
      <c r="I84" s="25"/>
      <c r="J84" s="24" t="s">
        <v>212</v>
      </c>
      <c r="K84" s="24" t="s">
        <v>73</v>
      </c>
      <c r="L84" s="24" t="s">
        <v>74</v>
      </c>
      <c r="M84" s="25"/>
      <c r="N84" s="24" t="s">
        <v>333</v>
      </c>
      <c r="O84" s="24" t="s">
        <v>353</v>
      </c>
      <c r="P84" s="25" t="s">
        <v>105</v>
      </c>
      <c r="Q84" s="25"/>
      <c r="R84" s="26">
        <v>780</v>
      </c>
      <c r="S84" s="24">
        <f>"424,1328"</f>
        <v>0</v>
      </c>
      <c r="T84" s="24"/>
    </row>
    <row r="85" spans="1:20" ht="14.25">
      <c r="A85" s="24" t="s">
        <v>1685</v>
      </c>
      <c r="B85" s="24" t="s">
        <v>1686</v>
      </c>
      <c r="C85" s="24" t="s">
        <v>1687</v>
      </c>
      <c r="D85" s="24">
        <f>"0,5397"</f>
        <v>0</v>
      </c>
      <c r="E85" s="24" t="s">
        <v>324</v>
      </c>
      <c r="F85" s="24" t="s">
        <v>68</v>
      </c>
      <c r="G85" s="24" t="s">
        <v>282</v>
      </c>
      <c r="H85" s="25"/>
      <c r="I85" s="25"/>
      <c r="J85" s="24" t="s">
        <v>47</v>
      </c>
      <c r="K85" s="24" t="s">
        <v>224</v>
      </c>
      <c r="L85" s="24" t="s">
        <v>212</v>
      </c>
      <c r="M85" s="25"/>
      <c r="N85" s="24" t="s">
        <v>68</v>
      </c>
      <c r="O85" s="25"/>
      <c r="P85" s="25"/>
      <c r="Q85" s="25"/>
      <c r="R85" s="26">
        <v>720</v>
      </c>
      <c r="S85" s="24">
        <f>"388,5912"</f>
        <v>0</v>
      </c>
      <c r="T85" s="24"/>
    </row>
    <row r="86" spans="1:20" ht="14.25">
      <c r="A86" s="24" t="s">
        <v>1688</v>
      </c>
      <c r="B86" s="24" t="s">
        <v>1689</v>
      </c>
      <c r="C86" s="24" t="s">
        <v>1690</v>
      </c>
      <c r="D86" s="24">
        <f>"0,5688"</f>
        <v>0</v>
      </c>
      <c r="E86" s="24" t="s">
        <v>324</v>
      </c>
      <c r="F86" s="24" t="s">
        <v>354</v>
      </c>
      <c r="G86" s="25" t="s">
        <v>98</v>
      </c>
      <c r="H86" s="25"/>
      <c r="I86" s="25"/>
      <c r="J86" s="24" t="s">
        <v>131</v>
      </c>
      <c r="K86" s="24" t="s">
        <v>87</v>
      </c>
      <c r="L86" s="25" t="s">
        <v>73</v>
      </c>
      <c r="M86" s="25"/>
      <c r="N86" s="25" t="s">
        <v>353</v>
      </c>
      <c r="O86" s="25" t="s">
        <v>353</v>
      </c>
      <c r="P86" s="25"/>
      <c r="Q86" s="25"/>
      <c r="R86" s="26">
        <v>0</v>
      </c>
      <c r="S86" s="24">
        <f aca="true" t="shared" si="3" ref="S86:S87">"0,0000"</f>
        <v>0</v>
      </c>
      <c r="T86" s="24"/>
    </row>
    <row r="87" spans="1:20" ht="14.25">
      <c r="A87" s="20" t="s">
        <v>1691</v>
      </c>
      <c r="B87" s="20" t="s">
        <v>453</v>
      </c>
      <c r="C87" s="20" t="s">
        <v>1692</v>
      </c>
      <c r="D87" s="20">
        <f>"0,5749"</f>
        <v>0</v>
      </c>
      <c r="E87" s="20" t="s">
        <v>232</v>
      </c>
      <c r="F87" s="21" t="s">
        <v>40</v>
      </c>
      <c r="G87" s="21" t="s">
        <v>40</v>
      </c>
      <c r="H87" s="21" t="s">
        <v>40</v>
      </c>
      <c r="I87" s="21"/>
      <c r="J87" s="21" t="s">
        <v>36</v>
      </c>
      <c r="K87" s="21"/>
      <c r="L87" s="21"/>
      <c r="M87" s="21"/>
      <c r="N87" s="21" t="s">
        <v>40</v>
      </c>
      <c r="O87" s="21"/>
      <c r="P87" s="21"/>
      <c r="Q87" s="21"/>
      <c r="R87" s="22">
        <v>0</v>
      </c>
      <c r="S87" s="20">
        <f t="shared" si="3"/>
        <v>0</v>
      </c>
      <c r="T87" s="20"/>
    </row>
    <row r="89" spans="1:19" ht="16.5">
      <c r="A89" s="23" t="s">
        <v>140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20" ht="14.25">
      <c r="A90" s="27" t="s">
        <v>1693</v>
      </c>
      <c r="B90" s="27" t="s">
        <v>1694</v>
      </c>
      <c r="C90" s="27" t="s">
        <v>1695</v>
      </c>
      <c r="D90" s="27">
        <f>"0,5300"</f>
        <v>0</v>
      </c>
      <c r="E90" s="27" t="s">
        <v>15</v>
      </c>
      <c r="F90" s="27"/>
      <c r="G90" s="27" t="s">
        <v>104</v>
      </c>
      <c r="H90" s="27" t="s">
        <v>110</v>
      </c>
      <c r="I90" s="28"/>
      <c r="J90" s="27" t="s">
        <v>92</v>
      </c>
      <c r="K90" s="27" t="s">
        <v>46</v>
      </c>
      <c r="L90" s="27" t="s">
        <v>93</v>
      </c>
      <c r="M90" s="28"/>
      <c r="N90" s="27" t="s">
        <v>333</v>
      </c>
      <c r="O90" s="27" t="s">
        <v>110</v>
      </c>
      <c r="P90" s="27" t="s">
        <v>441</v>
      </c>
      <c r="Q90" s="28"/>
      <c r="R90" s="29">
        <v>770</v>
      </c>
      <c r="S90" s="27">
        <f>"408,1000"</f>
        <v>0</v>
      </c>
      <c r="T90" s="27"/>
    </row>
    <row r="92" ht="16.5">
      <c r="E92" s="30" t="s">
        <v>144</v>
      </c>
    </row>
    <row r="93" ht="16.5">
      <c r="E93" s="30" t="s">
        <v>145</v>
      </c>
    </row>
    <row r="94" ht="16.5">
      <c r="E94" s="30" t="s">
        <v>146</v>
      </c>
    </row>
    <row r="95" ht="14.25">
      <c r="E95" s="1" t="s">
        <v>147</v>
      </c>
    </row>
    <row r="96" ht="14.25">
      <c r="E96" s="1" t="s">
        <v>148</v>
      </c>
    </row>
    <row r="97" ht="14.25">
      <c r="E97" s="1" t="s">
        <v>149</v>
      </c>
    </row>
    <row r="99" spans="1:2" ht="18.75">
      <c r="A99" s="31" t="s">
        <v>150</v>
      </c>
      <c r="B99" s="31"/>
    </row>
    <row r="100" spans="1:2" ht="16.5">
      <c r="A100" s="32" t="s">
        <v>151</v>
      </c>
      <c r="B100" s="32"/>
    </row>
    <row r="101" spans="1:2" ht="15.75">
      <c r="A101" s="33" t="s">
        <v>375</v>
      </c>
      <c r="B101" s="34"/>
    </row>
    <row r="102" spans="1:5" ht="15.75">
      <c r="A102" s="35" t="s">
        <v>1</v>
      </c>
      <c r="B102" s="35" t="s">
        <v>153</v>
      </c>
      <c r="C102" s="35" t="s">
        <v>154</v>
      </c>
      <c r="D102" s="35" t="s">
        <v>7</v>
      </c>
      <c r="E102" s="35" t="s">
        <v>155</v>
      </c>
    </row>
    <row r="103" spans="1:5" ht="14.25">
      <c r="A103" s="36" t="s">
        <v>1554</v>
      </c>
      <c r="B103" s="1" t="s">
        <v>917</v>
      </c>
      <c r="C103" s="1" t="s">
        <v>379</v>
      </c>
      <c r="D103" s="1" t="s">
        <v>88</v>
      </c>
      <c r="E103" s="37" t="s">
        <v>1696</v>
      </c>
    </row>
    <row r="105" spans="1:2" ht="15.75">
      <c r="A105" s="33" t="s">
        <v>165</v>
      </c>
      <c r="B105" s="34"/>
    </row>
    <row r="106" spans="1:5" ht="15.75">
      <c r="A106" s="35" t="s">
        <v>1</v>
      </c>
      <c r="B106" s="35" t="s">
        <v>153</v>
      </c>
      <c r="C106" s="35" t="s">
        <v>154</v>
      </c>
      <c r="D106" s="35" t="s">
        <v>7</v>
      </c>
      <c r="E106" s="35" t="s">
        <v>155</v>
      </c>
    </row>
    <row r="107" spans="1:5" ht="14.25">
      <c r="A107" s="36" t="s">
        <v>1568</v>
      </c>
      <c r="B107" s="1" t="s">
        <v>166</v>
      </c>
      <c r="C107" s="1" t="s">
        <v>372</v>
      </c>
      <c r="D107" s="1" t="s">
        <v>1697</v>
      </c>
      <c r="E107" s="37" t="s">
        <v>1698</v>
      </c>
    </row>
    <row r="109" spans="1:2" ht="15.75">
      <c r="A109" s="33" t="s">
        <v>152</v>
      </c>
      <c r="B109" s="34"/>
    </row>
    <row r="110" spans="1:5" ht="15.75">
      <c r="A110" s="35" t="s">
        <v>1</v>
      </c>
      <c r="B110" s="35" t="s">
        <v>153</v>
      </c>
      <c r="C110" s="35" t="s">
        <v>154</v>
      </c>
      <c r="D110" s="35" t="s">
        <v>7</v>
      </c>
      <c r="E110" s="35" t="s">
        <v>155</v>
      </c>
    </row>
    <row r="111" spans="1:5" ht="14.25">
      <c r="A111" s="36" t="s">
        <v>1571</v>
      </c>
      <c r="B111" s="1" t="s">
        <v>152</v>
      </c>
      <c r="C111" s="1" t="s">
        <v>158</v>
      </c>
      <c r="D111" s="1" t="s">
        <v>1699</v>
      </c>
      <c r="E111" s="37" t="s">
        <v>1700</v>
      </c>
    </row>
    <row r="112" spans="1:5" ht="14.25">
      <c r="A112" s="36" t="s">
        <v>1573</v>
      </c>
      <c r="B112" s="1" t="s">
        <v>152</v>
      </c>
      <c r="C112" s="1" t="s">
        <v>158</v>
      </c>
      <c r="D112" s="1" t="s">
        <v>100</v>
      </c>
      <c r="E112" s="37" t="s">
        <v>1701</v>
      </c>
    </row>
    <row r="114" spans="1:2" ht="15.75">
      <c r="A114" s="33" t="s">
        <v>160</v>
      </c>
      <c r="B114" s="34"/>
    </row>
    <row r="115" spans="1:5" ht="15.75">
      <c r="A115" s="35" t="s">
        <v>1</v>
      </c>
      <c r="B115" s="35" t="s">
        <v>153</v>
      </c>
      <c r="C115" s="35" t="s">
        <v>154</v>
      </c>
      <c r="D115" s="35" t="s">
        <v>7</v>
      </c>
      <c r="E115" s="35" t="s">
        <v>155</v>
      </c>
    </row>
    <row r="116" spans="1:5" ht="14.25">
      <c r="A116" s="36" t="s">
        <v>563</v>
      </c>
      <c r="B116" s="1" t="s">
        <v>399</v>
      </c>
      <c r="C116" s="1" t="s">
        <v>156</v>
      </c>
      <c r="D116" s="1" t="s">
        <v>1256</v>
      </c>
      <c r="E116" s="37" t="s">
        <v>1702</v>
      </c>
    </row>
    <row r="117" spans="1:5" ht="14.25">
      <c r="A117" s="36" t="s">
        <v>994</v>
      </c>
      <c r="B117" s="1" t="s">
        <v>190</v>
      </c>
      <c r="C117" s="1" t="s">
        <v>944</v>
      </c>
      <c r="D117" s="1" t="s">
        <v>41</v>
      </c>
      <c r="E117" s="37" t="s">
        <v>1703</v>
      </c>
    </row>
    <row r="118" spans="1:5" ht="14.25">
      <c r="A118" s="36" t="s">
        <v>1561</v>
      </c>
      <c r="B118" s="1" t="s">
        <v>161</v>
      </c>
      <c r="C118" s="1" t="s">
        <v>944</v>
      </c>
      <c r="D118" s="1" t="s">
        <v>294</v>
      </c>
      <c r="E118" s="37" t="s">
        <v>1704</v>
      </c>
    </row>
    <row r="121" spans="1:2" ht="16.5">
      <c r="A121" s="32" t="s">
        <v>164</v>
      </c>
      <c r="B121" s="32"/>
    </row>
    <row r="122" spans="1:2" ht="15.75">
      <c r="A122" s="33" t="s">
        <v>375</v>
      </c>
      <c r="B122" s="34"/>
    </row>
    <row r="123" spans="1:5" ht="15.75">
      <c r="A123" s="35" t="s">
        <v>1</v>
      </c>
      <c r="B123" s="35" t="s">
        <v>153</v>
      </c>
      <c r="C123" s="35" t="s">
        <v>154</v>
      </c>
      <c r="D123" s="35" t="s">
        <v>7</v>
      </c>
      <c r="E123" s="35" t="s">
        <v>155</v>
      </c>
    </row>
    <row r="124" spans="1:5" ht="14.25">
      <c r="A124" s="36" t="s">
        <v>1616</v>
      </c>
      <c r="B124" s="1" t="s">
        <v>917</v>
      </c>
      <c r="C124" s="1" t="s">
        <v>167</v>
      </c>
      <c r="D124" s="1" t="s">
        <v>1705</v>
      </c>
      <c r="E124" s="37" t="s">
        <v>1706</v>
      </c>
    </row>
    <row r="125" spans="1:5" ht="14.25">
      <c r="A125" s="36" t="s">
        <v>1588</v>
      </c>
      <c r="B125" s="1" t="s">
        <v>376</v>
      </c>
      <c r="C125" s="1" t="s">
        <v>156</v>
      </c>
      <c r="D125" s="1" t="s">
        <v>1255</v>
      </c>
      <c r="E125" s="37" t="s">
        <v>1707</v>
      </c>
    </row>
    <row r="126" spans="1:5" ht="14.25">
      <c r="A126" s="36" t="s">
        <v>1599</v>
      </c>
      <c r="B126" s="1" t="s">
        <v>917</v>
      </c>
      <c r="C126" s="1" t="s">
        <v>171</v>
      </c>
      <c r="D126" s="1" t="s">
        <v>1708</v>
      </c>
      <c r="E126" s="37" t="s">
        <v>1709</v>
      </c>
    </row>
    <row r="127" spans="1:5" ht="14.25">
      <c r="A127" s="36" t="s">
        <v>1585</v>
      </c>
      <c r="B127" s="1" t="s">
        <v>917</v>
      </c>
      <c r="C127" s="1" t="s">
        <v>156</v>
      </c>
      <c r="D127" s="1" t="s">
        <v>1710</v>
      </c>
      <c r="E127" s="37" t="s">
        <v>1711</v>
      </c>
    </row>
    <row r="128" spans="1:5" ht="14.25">
      <c r="A128" s="36" t="s">
        <v>595</v>
      </c>
      <c r="B128" s="1" t="s">
        <v>917</v>
      </c>
      <c r="C128" s="1" t="s">
        <v>158</v>
      </c>
      <c r="D128" s="1" t="s">
        <v>333</v>
      </c>
      <c r="E128" s="37" t="s">
        <v>1712</v>
      </c>
    </row>
    <row r="130" spans="1:2" ht="15.75">
      <c r="A130" s="33" t="s">
        <v>165</v>
      </c>
      <c r="B130" s="34"/>
    </row>
    <row r="131" spans="1:5" ht="15.75">
      <c r="A131" s="35" t="s">
        <v>1</v>
      </c>
      <c r="B131" s="35" t="s">
        <v>153</v>
      </c>
      <c r="C131" s="35" t="s">
        <v>154</v>
      </c>
      <c r="D131" s="35" t="s">
        <v>7</v>
      </c>
      <c r="E131" s="35" t="s">
        <v>155</v>
      </c>
    </row>
    <row r="132" spans="1:5" ht="14.25">
      <c r="A132" s="36" t="s">
        <v>1591</v>
      </c>
      <c r="B132" s="1" t="s">
        <v>166</v>
      </c>
      <c r="C132" s="1" t="s">
        <v>156</v>
      </c>
      <c r="D132" s="1" t="s">
        <v>1510</v>
      </c>
      <c r="E132" s="37" t="s">
        <v>1713</v>
      </c>
    </row>
    <row r="133" spans="1:5" ht="14.25">
      <c r="A133" s="36" t="s">
        <v>1579</v>
      </c>
      <c r="B133" s="1" t="s">
        <v>166</v>
      </c>
      <c r="C133" s="1" t="s">
        <v>158</v>
      </c>
      <c r="D133" s="1" t="s">
        <v>105</v>
      </c>
      <c r="E133" s="37" t="s">
        <v>1714</v>
      </c>
    </row>
    <row r="135" spans="1:2" ht="15.75">
      <c r="A135" s="33" t="s">
        <v>152</v>
      </c>
      <c r="B135" s="34"/>
    </row>
    <row r="136" spans="1:5" ht="15.75">
      <c r="A136" s="35" t="s">
        <v>1</v>
      </c>
      <c r="B136" s="35" t="s">
        <v>153</v>
      </c>
      <c r="C136" s="35" t="s">
        <v>154</v>
      </c>
      <c r="D136" s="35" t="s">
        <v>7</v>
      </c>
      <c r="E136" s="35" t="s">
        <v>155</v>
      </c>
    </row>
    <row r="137" spans="1:5" ht="14.25">
      <c r="A137" s="36" t="s">
        <v>1663</v>
      </c>
      <c r="B137" s="1" t="s">
        <v>152</v>
      </c>
      <c r="C137" s="1" t="s">
        <v>169</v>
      </c>
      <c r="D137" s="1" t="s">
        <v>1715</v>
      </c>
      <c r="E137" s="37" t="s">
        <v>1716</v>
      </c>
    </row>
    <row r="138" spans="1:5" ht="14.25">
      <c r="A138" s="36" t="s">
        <v>1667</v>
      </c>
      <c r="B138" s="1" t="s">
        <v>152</v>
      </c>
      <c r="C138" s="1" t="s">
        <v>169</v>
      </c>
      <c r="D138" s="1" t="s">
        <v>1516</v>
      </c>
      <c r="E138" s="37" t="s">
        <v>1717</v>
      </c>
    </row>
    <row r="139" spans="1:5" ht="14.25">
      <c r="A139" s="36" t="s">
        <v>1644</v>
      </c>
      <c r="B139" s="1" t="s">
        <v>152</v>
      </c>
      <c r="C139" s="1" t="s">
        <v>173</v>
      </c>
      <c r="D139" s="1" t="s">
        <v>1718</v>
      </c>
      <c r="E139" s="37" t="s">
        <v>1719</v>
      </c>
    </row>
    <row r="140" spans="1:5" ht="14.25">
      <c r="A140" s="36" t="s">
        <v>1647</v>
      </c>
      <c r="B140" s="1" t="s">
        <v>152</v>
      </c>
      <c r="C140" s="1" t="s">
        <v>173</v>
      </c>
      <c r="D140" s="1" t="s">
        <v>1720</v>
      </c>
      <c r="E140" s="37" t="s">
        <v>1721</v>
      </c>
    </row>
    <row r="141" spans="1:5" ht="14.25">
      <c r="A141" s="36" t="s">
        <v>877</v>
      </c>
      <c r="B141" s="1" t="s">
        <v>152</v>
      </c>
      <c r="C141" s="1" t="s">
        <v>175</v>
      </c>
      <c r="D141" s="1" t="s">
        <v>1722</v>
      </c>
      <c r="E141" s="37" t="s">
        <v>1723</v>
      </c>
    </row>
    <row r="142" spans="1:5" ht="14.25">
      <c r="A142" s="36" t="s">
        <v>1594</v>
      </c>
      <c r="B142" s="1" t="s">
        <v>152</v>
      </c>
      <c r="C142" s="1" t="s">
        <v>156</v>
      </c>
      <c r="D142" s="1" t="s">
        <v>1724</v>
      </c>
      <c r="E142" s="37" t="s">
        <v>1725</v>
      </c>
    </row>
    <row r="143" spans="1:5" ht="14.25">
      <c r="A143" s="36" t="s">
        <v>1682</v>
      </c>
      <c r="B143" s="1" t="s">
        <v>152</v>
      </c>
      <c r="C143" s="1" t="s">
        <v>175</v>
      </c>
      <c r="D143" s="1" t="s">
        <v>1726</v>
      </c>
      <c r="E143" s="37" t="s">
        <v>1727</v>
      </c>
    </row>
    <row r="144" spans="1:5" ht="14.25">
      <c r="A144" s="36" t="s">
        <v>1602</v>
      </c>
      <c r="B144" s="1" t="s">
        <v>152</v>
      </c>
      <c r="C144" s="1" t="s">
        <v>171</v>
      </c>
      <c r="D144" s="1" t="s">
        <v>1728</v>
      </c>
      <c r="E144" s="37" t="s">
        <v>1729</v>
      </c>
    </row>
    <row r="145" spans="1:5" ht="14.25">
      <c r="A145" s="36" t="s">
        <v>1576</v>
      </c>
      <c r="B145" s="1" t="s">
        <v>152</v>
      </c>
      <c r="C145" s="1" t="s">
        <v>372</v>
      </c>
      <c r="D145" s="1" t="s">
        <v>1413</v>
      </c>
      <c r="E145" s="37" t="s">
        <v>1730</v>
      </c>
    </row>
    <row r="146" spans="1:5" ht="14.25">
      <c r="A146" s="36" t="s">
        <v>1693</v>
      </c>
      <c r="B146" s="1" t="s">
        <v>152</v>
      </c>
      <c r="C146" s="1" t="s">
        <v>194</v>
      </c>
      <c r="D146" s="1" t="s">
        <v>1731</v>
      </c>
      <c r="E146" s="37" t="s">
        <v>1732</v>
      </c>
    </row>
    <row r="147" spans="1:5" ht="14.25">
      <c r="A147" s="36" t="s">
        <v>1634</v>
      </c>
      <c r="B147" s="1" t="s">
        <v>152</v>
      </c>
      <c r="C147" s="1" t="s">
        <v>167</v>
      </c>
      <c r="D147" s="1" t="s">
        <v>1733</v>
      </c>
      <c r="E147" s="37" t="s">
        <v>1734</v>
      </c>
    </row>
    <row r="148" spans="1:5" ht="14.25">
      <c r="A148" s="36" t="s">
        <v>1121</v>
      </c>
      <c r="B148" s="1" t="s">
        <v>152</v>
      </c>
      <c r="C148" s="1" t="s">
        <v>169</v>
      </c>
      <c r="D148" s="1" t="s">
        <v>1735</v>
      </c>
      <c r="E148" s="37" t="s">
        <v>1736</v>
      </c>
    </row>
    <row r="149" spans="1:5" ht="14.25">
      <c r="A149" s="36" t="s">
        <v>1612</v>
      </c>
      <c r="B149" s="1" t="s">
        <v>152</v>
      </c>
      <c r="C149" s="1" t="s">
        <v>181</v>
      </c>
      <c r="D149" s="1" t="s">
        <v>1737</v>
      </c>
      <c r="E149" s="37" t="s">
        <v>1738</v>
      </c>
    </row>
    <row r="150" spans="1:5" ht="14.25">
      <c r="A150" s="36" t="s">
        <v>1685</v>
      </c>
      <c r="B150" s="1" t="s">
        <v>152</v>
      </c>
      <c r="C150" s="1" t="s">
        <v>175</v>
      </c>
      <c r="D150" s="1" t="s">
        <v>1735</v>
      </c>
      <c r="E150" s="37" t="s">
        <v>1739</v>
      </c>
    </row>
    <row r="151" spans="1:5" ht="14.25">
      <c r="A151" s="36" t="s">
        <v>1605</v>
      </c>
      <c r="B151" s="1" t="s">
        <v>152</v>
      </c>
      <c r="C151" s="1" t="s">
        <v>171</v>
      </c>
      <c r="D151" s="1" t="s">
        <v>1740</v>
      </c>
      <c r="E151" s="37" t="s">
        <v>1741</v>
      </c>
    </row>
    <row r="152" spans="1:5" ht="14.25">
      <c r="A152" s="36" t="s">
        <v>1060</v>
      </c>
      <c r="B152" s="1" t="s">
        <v>152</v>
      </c>
      <c r="C152" s="1" t="s">
        <v>167</v>
      </c>
      <c r="D152" s="1" t="s">
        <v>1742</v>
      </c>
      <c r="E152" s="37" t="s">
        <v>1743</v>
      </c>
    </row>
    <row r="153" spans="1:5" ht="14.25">
      <c r="A153" s="36" t="s">
        <v>1063</v>
      </c>
      <c r="B153" s="1" t="s">
        <v>152</v>
      </c>
      <c r="C153" s="1" t="s">
        <v>167</v>
      </c>
      <c r="D153" s="1" t="s">
        <v>1744</v>
      </c>
      <c r="E153" s="37" t="s">
        <v>1745</v>
      </c>
    </row>
    <row r="154" spans="1:5" ht="14.25">
      <c r="A154" s="36" t="s">
        <v>1630</v>
      </c>
      <c r="B154" s="1" t="s">
        <v>152</v>
      </c>
      <c r="C154" s="1" t="s">
        <v>167</v>
      </c>
      <c r="D154" s="1" t="s">
        <v>1744</v>
      </c>
      <c r="E154" s="37" t="s">
        <v>1746</v>
      </c>
    </row>
    <row r="155" spans="1:5" ht="14.25">
      <c r="A155" s="36" t="s">
        <v>1607</v>
      </c>
      <c r="B155" s="1" t="s">
        <v>152</v>
      </c>
      <c r="C155" s="1" t="s">
        <v>181</v>
      </c>
      <c r="D155" s="1" t="s">
        <v>1257</v>
      </c>
      <c r="E155" s="37" t="s">
        <v>1747</v>
      </c>
    </row>
    <row r="157" spans="1:2" ht="15.75">
      <c r="A157" s="33" t="s">
        <v>160</v>
      </c>
      <c r="B157" s="34"/>
    </row>
    <row r="158" spans="1:5" ht="15.75">
      <c r="A158" s="35" t="s">
        <v>1</v>
      </c>
      <c r="B158" s="35" t="s">
        <v>153</v>
      </c>
      <c r="C158" s="35" t="s">
        <v>154</v>
      </c>
      <c r="D158" s="35" t="s">
        <v>7</v>
      </c>
      <c r="E158" s="35" t="s">
        <v>155</v>
      </c>
    </row>
    <row r="159" spans="1:5" ht="14.25">
      <c r="A159" s="36" t="s">
        <v>1582</v>
      </c>
      <c r="B159" s="1" t="s">
        <v>963</v>
      </c>
      <c r="C159" s="1" t="s">
        <v>158</v>
      </c>
      <c r="D159" s="1" t="s">
        <v>1710</v>
      </c>
      <c r="E159" s="37" t="s">
        <v>1748</v>
      </c>
    </row>
    <row r="160" spans="1:5" ht="14.25">
      <c r="A160" s="36" t="s">
        <v>1596</v>
      </c>
      <c r="B160" s="1" t="s">
        <v>190</v>
      </c>
      <c r="C160" s="1" t="s">
        <v>156</v>
      </c>
      <c r="D160" s="1" t="s">
        <v>1749</v>
      </c>
      <c r="E160" s="37" t="s">
        <v>1750</v>
      </c>
    </row>
    <row r="161" spans="1:5" ht="14.25">
      <c r="A161" s="36" t="s">
        <v>89</v>
      </c>
      <c r="B161" s="1" t="s">
        <v>192</v>
      </c>
      <c r="C161" s="1" t="s">
        <v>167</v>
      </c>
      <c r="D161" s="1" t="s">
        <v>1510</v>
      </c>
      <c r="E161" s="37" t="s">
        <v>1751</v>
      </c>
    </row>
    <row r="162" spans="1:5" ht="14.25">
      <c r="A162" s="36" t="s">
        <v>1614</v>
      </c>
      <c r="B162" s="1" t="s">
        <v>161</v>
      </c>
      <c r="C162" s="1" t="s">
        <v>181</v>
      </c>
      <c r="D162" s="1" t="s">
        <v>1752</v>
      </c>
      <c r="E162" s="37" t="s">
        <v>1753</v>
      </c>
    </row>
    <row r="163" spans="1:5" ht="14.25">
      <c r="A163" s="36" t="s">
        <v>1660</v>
      </c>
      <c r="B163" s="1" t="s">
        <v>161</v>
      </c>
      <c r="C163" s="1" t="s">
        <v>173</v>
      </c>
      <c r="D163" s="1" t="s">
        <v>1737</v>
      </c>
      <c r="E163" s="37" t="s">
        <v>1754</v>
      </c>
    </row>
    <row r="164" spans="1:5" ht="14.25">
      <c r="A164" s="36" t="s">
        <v>1653</v>
      </c>
      <c r="B164" s="1" t="s">
        <v>399</v>
      </c>
      <c r="C164" s="1" t="s">
        <v>173</v>
      </c>
      <c r="D164" s="1" t="s">
        <v>1514</v>
      </c>
      <c r="E164" s="37" t="s">
        <v>1755</v>
      </c>
    </row>
    <row r="165" spans="1:5" ht="14.25">
      <c r="A165" s="36" t="s">
        <v>1641</v>
      </c>
      <c r="B165" s="1" t="s">
        <v>192</v>
      </c>
      <c r="C165" s="1" t="s">
        <v>167</v>
      </c>
      <c r="D165" s="1" t="s">
        <v>1756</v>
      </c>
      <c r="E165" s="37" t="s">
        <v>1757</v>
      </c>
    </row>
    <row r="166" spans="1:5" ht="14.25">
      <c r="A166" s="36" t="s">
        <v>1639</v>
      </c>
      <c r="B166" s="1" t="s">
        <v>188</v>
      </c>
      <c r="C166" s="1" t="s">
        <v>167</v>
      </c>
      <c r="D166" s="1" t="s">
        <v>1737</v>
      </c>
      <c r="E166" s="37" t="s">
        <v>1758</v>
      </c>
    </row>
    <row r="167" spans="1:5" ht="14.25">
      <c r="A167" s="36" t="s">
        <v>1636</v>
      </c>
      <c r="B167" s="1" t="s">
        <v>399</v>
      </c>
      <c r="C167" s="1" t="s">
        <v>167</v>
      </c>
      <c r="D167" s="1" t="s">
        <v>1759</v>
      </c>
      <c r="E167" s="37" t="s">
        <v>1760</v>
      </c>
    </row>
    <row r="168" spans="1:5" ht="14.25">
      <c r="A168" s="36" t="s">
        <v>1679</v>
      </c>
      <c r="B168" s="1" t="s">
        <v>190</v>
      </c>
      <c r="C168" s="1" t="s">
        <v>169</v>
      </c>
      <c r="D168" s="1" t="s">
        <v>1510</v>
      </c>
      <c r="E168" s="37" t="s">
        <v>1761</v>
      </c>
    </row>
    <row r="169" spans="1:5" ht="14.25">
      <c r="A169" s="36" t="s">
        <v>1657</v>
      </c>
      <c r="B169" s="1" t="s">
        <v>188</v>
      </c>
      <c r="C169" s="1" t="s">
        <v>173</v>
      </c>
      <c r="D169" s="1" t="s">
        <v>1762</v>
      </c>
      <c r="E169" s="37" t="s">
        <v>1763</v>
      </c>
    </row>
    <row r="170" spans="1:5" ht="14.25">
      <c r="A170" s="36" t="s">
        <v>325</v>
      </c>
      <c r="B170" s="1" t="s">
        <v>404</v>
      </c>
      <c r="C170" s="1" t="s">
        <v>173</v>
      </c>
      <c r="D170" s="1" t="s">
        <v>1622</v>
      </c>
      <c r="E170" s="37" t="s">
        <v>1764</v>
      </c>
    </row>
    <row r="171" spans="1:5" ht="14.25">
      <c r="A171" s="36" t="s">
        <v>1674</v>
      </c>
      <c r="B171" s="1" t="s">
        <v>399</v>
      </c>
      <c r="C171" s="1" t="s">
        <v>169</v>
      </c>
      <c r="D171" s="1" t="s">
        <v>1765</v>
      </c>
      <c r="E171" s="37" t="s">
        <v>1766</v>
      </c>
    </row>
  </sheetData>
  <sheetProtection selectLockedCells="1" selectUnlockedCells="1"/>
  <mergeCells count="27">
    <mergeCell ref="A1:T2"/>
    <mergeCell ref="A3:A4"/>
    <mergeCell ref="B3:B4"/>
    <mergeCell ref="C3:C4"/>
    <mergeCell ref="D3:D4"/>
    <mergeCell ref="E3:E4"/>
    <mergeCell ref="F3:I3"/>
    <mergeCell ref="J3:M3"/>
    <mergeCell ref="N3:Q3"/>
    <mergeCell ref="R3:R4"/>
    <mergeCell ref="S3:S4"/>
    <mergeCell ref="T3:T4"/>
    <mergeCell ref="A5:S5"/>
    <mergeCell ref="A8:S8"/>
    <mergeCell ref="A12:S12"/>
    <mergeCell ref="A15:S15"/>
    <mergeCell ref="A19:S19"/>
    <mergeCell ref="A22:S22"/>
    <mergeCell ref="A25:S25"/>
    <mergeCell ref="A30:S30"/>
    <mergeCell ref="A39:S39"/>
    <mergeCell ref="A44:S44"/>
    <mergeCell ref="A49:S49"/>
    <mergeCell ref="A62:S62"/>
    <mergeCell ref="A72:S72"/>
    <mergeCell ref="A82:S82"/>
    <mergeCell ref="A89:S8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2"/>
  <sheetViews>
    <sheetView tabSelected="1" workbookViewId="0" topLeftCell="A124">
      <selection activeCell="D143" sqref="D143"/>
    </sheetView>
  </sheetViews>
  <sheetFormatPr defaultColWidth="9.00390625" defaultRowHeight="12.75"/>
  <cols>
    <col min="1" max="1" width="28.50390625" style="59" customWidth="1"/>
    <col min="2" max="2" width="26.50390625" style="60" customWidth="1"/>
    <col min="3" max="3" width="7.50390625" style="60" customWidth="1"/>
    <col min="4" max="4" width="6.50390625" style="60" customWidth="1"/>
    <col min="5" max="5" width="17.00390625" style="61" customWidth="1"/>
    <col min="6" max="12" width="5.50390625" style="60" customWidth="1"/>
    <col min="13" max="13" width="4.50390625" style="60" customWidth="1"/>
    <col min="14" max="17" width="5.50390625" style="60" customWidth="1"/>
    <col min="18" max="18" width="6.375" style="59" customWidth="1"/>
    <col min="19" max="19" width="8.50390625" style="60" customWidth="1"/>
    <col min="20" max="20" width="7.125" style="61" customWidth="1"/>
    <col min="21" max="16384" width="9.125" style="4" customWidth="1"/>
  </cols>
  <sheetData>
    <row r="1" spans="1:20" ht="15" customHeight="1">
      <c r="A1" s="3" t="s">
        <v>1767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5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1337</v>
      </c>
      <c r="G3" s="8"/>
      <c r="H3" s="8"/>
      <c r="I3" s="8"/>
      <c r="J3" s="8" t="s">
        <v>6</v>
      </c>
      <c r="K3" s="8"/>
      <c r="L3" s="8"/>
      <c r="M3" s="8"/>
      <c r="N3" s="8" t="s">
        <v>993</v>
      </c>
      <c r="O3" s="8"/>
      <c r="P3" s="8"/>
      <c r="Q3" s="8"/>
      <c r="R3" s="40" t="s">
        <v>7</v>
      </c>
      <c r="S3" s="7" t="s">
        <v>8</v>
      </c>
      <c r="T3" s="10" t="s">
        <v>9</v>
      </c>
    </row>
    <row r="4" spans="1:20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12">
        <v>1</v>
      </c>
      <c r="K4" s="13">
        <v>2</v>
      </c>
      <c r="L4" s="13">
        <v>3</v>
      </c>
      <c r="M4" s="14" t="s">
        <v>10</v>
      </c>
      <c r="N4" s="12">
        <v>1</v>
      </c>
      <c r="O4" s="13">
        <v>2</v>
      </c>
      <c r="P4" s="13">
        <v>3</v>
      </c>
      <c r="Q4" s="14" t="s">
        <v>10</v>
      </c>
      <c r="R4" s="40"/>
      <c r="S4" s="7"/>
      <c r="T4" s="10"/>
    </row>
    <row r="5" spans="1:20" s="60" customFormat="1" ht="16.5">
      <c r="A5" s="62" t="s">
        <v>583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1"/>
    </row>
    <row r="6" spans="1:20" s="60" customFormat="1" ht="14.25">
      <c r="A6" s="63" t="s">
        <v>513</v>
      </c>
      <c r="B6" s="64" t="s">
        <v>514</v>
      </c>
      <c r="C6" s="64" t="s">
        <v>996</v>
      </c>
      <c r="D6" s="64">
        <f>"1,0469"</f>
        <v>0</v>
      </c>
      <c r="E6" s="65" t="s">
        <v>232</v>
      </c>
      <c r="F6" s="66" t="s">
        <v>895</v>
      </c>
      <c r="G6" s="64" t="s">
        <v>54</v>
      </c>
      <c r="H6" s="66" t="s">
        <v>312</v>
      </c>
      <c r="I6" s="66"/>
      <c r="J6" s="64" t="s">
        <v>22</v>
      </c>
      <c r="K6" s="64" t="s">
        <v>1768</v>
      </c>
      <c r="L6" s="66" t="s">
        <v>217</v>
      </c>
      <c r="M6" s="66"/>
      <c r="N6" s="64" t="s">
        <v>36</v>
      </c>
      <c r="O6" s="64" t="s">
        <v>246</v>
      </c>
      <c r="P6" s="64" t="s">
        <v>626</v>
      </c>
      <c r="Q6" s="66" t="s">
        <v>1769</v>
      </c>
      <c r="R6" s="63">
        <v>422.5</v>
      </c>
      <c r="S6" s="64">
        <f>"442,3153"</f>
        <v>0</v>
      </c>
      <c r="T6" s="65"/>
    </row>
    <row r="7" spans="1:20" s="60" customFormat="1" ht="14.25">
      <c r="A7" s="59"/>
      <c r="E7" s="61"/>
      <c r="R7" s="59"/>
      <c r="T7" s="61"/>
    </row>
    <row r="8" spans="1:19" ht="16.5">
      <c r="A8" s="67" t="s">
        <v>202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20" ht="14.25">
      <c r="A9" s="63" t="s">
        <v>1770</v>
      </c>
      <c r="B9" s="64" t="s">
        <v>1771</v>
      </c>
      <c r="C9" s="64" t="s">
        <v>1772</v>
      </c>
      <c r="D9" s="64">
        <f>"1,0120"</f>
        <v>0</v>
      </c>
      <c r="E9" s="65" t="s">
        <v>562</v>
      </c>
      <c r="F9" s="64" t="s">
        <v>653</v>
      </c>
      <c r="G9" s="64" t="s">
        <v>240</v>
      </c>
      <c r="H9" s="64" t="s">
        <v>131</v>
      </c>
      <c r="I9" s="66"/>
      <c r="J9" s="64" t="s">
        <v>1560</v>
      </c>
      <c r="K9" s="64" t="s">
        <v>328</v>
      </c>
      <c r="L9" s="64" t="s">
        <v>528</v>
      </c>
      <c r="M9" s="66"/>
      <c r="N9" s="66" t="s">
        <v>1031</v>
      </c>
      <c r="O9" s="64" t="s">
        <v>93</v>
      </c>
      <c r="P9" s="64" t="s">
        <v>812</v>
      </c>
      <c r="Q9" s="66"/>
      <c r="R9" s="63">
        <v>460</v>
      </c>
      <c r="S9" s="64">
        <f>"465,5200"</f>
        <v>0</v>
      </c>
      <c r="T9" s="65"/>
    </row>
    <row r="11" spans="1:19" ht="16.5">
      <c r="A11" s="67" t="s">
        <v>11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20" ht="14.25">
      <c r="A12" s="63" t="s">
        <v>1773</v>
      </c>
      <c r="B12" s="64" t="s">
        <v>1774</v>
      </c>
      <c r="C12" s="64" t="s">
        <v>535</v>
      </c>
      <c r="D12" s="64">
        <f>"0,7997"</f>
        <v>0</v>
      </c>
      <c r="E12" s="65" t="s">
        <v>15</v>
      </c>
      <c r="F12" s="66" t="s">
        <v>1775</v>
      </c>
      <c r="G12" s="64" t="s">
        <v>540</v>
      </c>
      <c r="H12" s="64" t="s">
        <v>511</v>
      </c>
      <c r="I12" s="66"/>
      <c r="J12" s="64" t="s">
        <v>1776</v>
      </c>
      <c r="K12" s="64" t="s">
        <v>1562</v>
      </c>
      <c r="L12" s="66" t="s">
        <v>581</v>
      </c>
      <c r="M12" s="66"/>
      <c r="N12" s="64" t="s">
        <v>1775</v>
      </c>
      <c r="O12" s="64" t="s">
        <v>511</v>
      </c>
      <c r="P12" s="64" t="s">
        <v>527</v>
      </c>
      <c r="Q12" s="66"/>
      <c r="R12" s="63">
        <v>195</v>
      </c>
      <c r="S12" s="64">
        <f>"155,9498"</f>
        <v>0</v>
      </c>
      <c r="T12" s="65"/>
    </row>
    <row r="14" spans="1:19" ht="16.5">
      <c r="A14" s="67" t="s">
        <v>25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20" ht="14.25">
      <c r="A15" s="68" t="s">
        <v>1777</v>
      </c>
      <c r="B15" s="69" t="s">
        <v>1778</v>
      </c>
      <c r="C15" s="69" t="s">
        <v>1779</v>
      </c>
      <c r="D15" s="69">
        <f>"0,8889"</f>
        <v>0</v>
      </c>
      <c r="E15" s="70" t="s">
        <v>15</v>
      </c>
      <c r="F15" s="69" t="s">
        <v>481</v>
      </c>
      <c r="G15" s="69" t="s">
        <v>131</v>
      </c>
      <c r="H15" s="71" t="s">
        <v>87</v>
      </c>
      <c r="I15" s="71"/>
      <c r="J15" s="69" t="s">
        <v>1564</v>
      </c>
      <c r="K15" s="69" t="s">
        <v>16</v>
      </c>
      <c r="L15" s="71" t="s">
        <v>516</v>
      </c>
      <c r="M15" s="71"/>
      <c r="N15" s="69" t="s">
        <v>725</v>
      </c>
      <c r="O15" s="69" t="s">
        <v>88</v>
      </c>
      <c r="P15" s="71" t="s">
        <v>74</v>
      </c>
      <c r="Q15" s="71"/>
      <c r="R15" s="68">
        <v>500</v>
      </c>
      <c r="S15" s="69">
        <f>"444,4750"</f>
        <v>0</v>
      </c>
      <c r="T15" s="70"/>
    </row>
    <row r="16" spans="1:20" ht="14.25">
      <c r="A16" s="72" t="s">
        <v>1780</v>
      </c>
      <c r="B16" s="73" t="s">
        <v>1781</v>
      </c>
      <c r="C16" s="73" t="s">
        <v>1782</v>
      </c>
      <c r="D16" s="73">
        <f>"0,8407"</f>
        <v>0</v>
      </c>
      <c r="E16" s="74" t="s">
        <v>232</v>
      </c>
      <c r="F16" s="73" t="s">
        <v>46</v>
      </c>
      <c r="G16" s="73" t="s">
        <v>131</v>
      </c>
      <c r="H16" s="75" t="s">
        <v>87</v>
      </c>
      <c r="I16" s="75"/>
      <c r="J16" s="73" t="s">
        <v>29</v>
      </c>
      <c r="K16" s="75" t="s">
        <v>30</v>
      </c>
      <c r="L16" s="75" t="s">
        <v>30</v>
      </c>
      <c r="M16" s="75"/>
      <c r="N16" s="73" t="s">
        <v>47</v>
      </c>
      <c r="O16" s="73" t="s">
        <v>212</v>
      </c>
      <c r="P16" s="75" t="s">
        <v>87</v>
      </c>
      <c r="Q16" s="75"/>
      <c r="R16" s="72" t="s">
        <v>1783</v>
      </c>
      <c r="S16" s="73" t="s">
        <v>1784</v>
      </c>
      <c r="T16" s="74"/>
    </row>
    <row r="18" spans="1:19" ht="16.5">
      <c r="A18" s="67" t="s">
        <v>202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1:20" ht="14.25">
      <c r="A19" s="63" t="s">
        <v>1785</v>
      </c>
      <c r="B19" s="64" t="s">
        <v>1786</v>
      </c>
      <c r="C19" s="64" t="s">
        <v>1787</v>
      </c>
      <c r="D19" s="64">
        <f>"0,8568"</f>
        <v>0</v>
      </c>
      <c r="E19" s="65" t="s">
        <v>53</v>
      </c>
      <c r="F19" s="64" t="s">
        <v>29</v>
      </c>
      <c r="G19" s="64" t="s">
        <v>774</v>
      </c>
      <c r="H19" s="66" t="s">
        <v>486</v>
      </c>
      <c r="I19" s="66"/>
      <c r="J19" s="64" t="s">
        <v>510</v>
      </c>
      <c r="K19" s="64" t="s">
        <v>527</v>
      </c>
      <c r="L19" s="66"/>
      <c r="M19" s="66"/>
      <c r="N19" s="66" t="s">
        <v>46</v>
      </c>
      <c r="O19" s="64" t="s">
        <v>46</v>
      </c>
      <c r="P19" s="66" t="s">
        <v>131</v>
      </c>
      <c r="Q19" s="66"/>
      <c r="R19" s="63">
        <v>392.5</v>
      </c>
      <c r="S19" s="64">
        <f>"336,2744"</f>
        <v>0</v>
      </c>
      <c r="T19" s="65"/>
    </row>
    <row r="21" spans="1:19" ht="16.5">
      <c r="A21" s="67" t="s">
        <v>11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20" ht="14.25">
      <c r="A22" s="63" t="s">
        <v>1019</v>
      </c>
      <c r="B22" s="64" t="s">
        <v>1020</v>
      </c>
      <c r="C22" s="64" t="s">
        <v>1581</v>
      </c>
      <c r="D22" s="64">
        <f>"0,7484"</f>
        <v>0</v>
      </c>
      <c r="E22" s="65" t="s">
        <v>536</v>
      </c>
      <c r="F22" s="64" t="s">
        <v>87</v>
      </c>
      <c r="G22" s="66" t="s">
        <v>40</v>
      </c>
      <c r="H22" s="64" t="s">
        <v>40</v>
      </c>
      <c r="I22" s="66"/>
      <c r="J22" s="66" t="s">
        <v>1788</v>
      </c>
      <c r="K22" s="66" t="s">
        <v>1788</v>
      </c>
      <c r="L22" s="66" t="s">
        <v>1788</v>
      </c>
      <c r="M22" s="66"/>
      <c r="N22" s="66" t="s">
        <v>115</v>
      </c>
      <c r="O22" s="66"/>
      <c r="P22" s="66"/>
      <c r="Q22" s="66"/>
      <c r="R22" s="63">
        <v>0</v>
      </c>
      <c r="S22" s="64">
        <f>"0,0000"</f>
        <v>0</v>
      </c>
      <c r="T22" s="65"/>
    </row>
    <row r="24" spans="1:19" ht="16.5">
      <c r="A24" s="67" t="s">
        <v>25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20" ht="14.25">
      <c r="A25" s="68" t="s">
        <v>621</v>
      </c>
      <c r="B25" s="69" t="s">
        <v>622</v>
      </c>
      <c r="C25" s="69" t="s">
        <v>619</v>
      </c>
      <c r="D25" s="69">
        <f>"0,6906"</f>
        <v>0</v>
      </c>
      <c r="E25" s="70" t="s">
        <v>623</v>
      </c>
      <c r="F25" s="69" t="s">
        <v>78</v>
      </c>
      <c r="G25" s="71" t="s">
        <v>42</v>
      </c>
      <c r="H25" s="71" t="s">
        <v>42</v>
      </c>
      <c r="I25" s="71"/>
      <c r="J25" s="69" t="s">
        <v>486</v>
      </c>
      <c r="K25" s="69" t="s">
        <v>46</v>
      </c>
      <c r="L25" s="71" t="s">
        <v>1769</v>
      </c>
      <c r="M25" s="71"/>
      <c r="N25" s="69" t="s">
        <v>1656</v>
      </c>
      <c r="O25" s="69" t="s">
        <v>1789</v>
      </c>
      <c r="P25" s="71" t="s">
        <v>349</v>
      </c>
      <c r="Q25" s="71"/>
      <c r="R25" s="68" t="s">
        <v>1790</v>
      </c>
      <c r="S25" s="69">
        <f>"298,6845"</f>
        <v>0</v>
      </c>
      <c r="T25" s="70"/>
    </row>
    <row r="26" spans="1:20" ht="14.25">
      <c r="A26" s="76" t="s">
        <v>629</v>
      </c>
      <c r="B26" s="77" t="s">
        <v>630</v>
      </c>
      <c r="C26" s="77" t="s">
        <v>1791</v>
      </c>
      <c r="D26" s="77">
        <f>"0,6940"</f>
        <v>0</v>
      </c>
      <c r="E26" s="78" t="s">
        <v>223</v>
      </c>
      <c r="F26" s="77" t="s">
        <v>87</v>
      </c>
      <c r="G26" s="79" t="s">
        <v>40</v>
      </c>
      <c r="H26" s="77" t="s">
        <v>40</v>
      </c>
      <c r="I26" s="79"/>
      <c r="J26" s="77" t="s">
        <v>895</v>
      </c>
      <c r="K26" s="77" t="s">
        <v>486</v>
      </c>
      <c r="L26" s="79" t="s">
        <v>312</v>
      </c>
      <c r="M26" s="79"/>
      <c r="N26" s="77" t="s">
        <v>725</v>
      </c>
      <c r="O26" s="79" t="s">
        <v>40</v>
      </c>
      <c r="P26" s="79" t="s">
        <v>316</v>
      </c>
      <c r="Q26" s="79"/>
      <c r="R26" s="76" t="s">
        <v>1792</v>
      </c>
      <c r="S26" s="77">
        <f>"263,7200"</f>
        <v>0</v>
      </c>
      <c r="T26" s="78"/>
    </row>
    <row r="27" spans="1:20" ht="14.25">
      <c r="A27" s="76" t="s">
        <v>1793</v>
      </c>
      <c r="B27" s="77" t="s">
        <v>1794</v>
      </c>
      <c r="C27" s="77" t="s">
        <v>1340</v>
      </c>
      <c r="D27" s="77">
        <f>"0,6947"</f>
        <v>0</v>
      </c>
      <c r="E27" s="78" t="s">
        <v>324</v>
      </c>
      <c r="F27" s="77" t="s">
        <v>87</v>
      </c>
      <c r="G27" s="79" t="s">
        <v>88</v>
      </c>
      <c r="H27" s="79" t="s">
        <v>88</v>
      </c>
      <c r="I27" s="79"/>
      <c r="J27" s="77" t="s">
        <v>29</v>
      </c>
      <c r="K27" s="79" t="s">
        <v>35</v>
      </c>
      <c r="L27" s="79" t="s">
        <v>1226</v>
      </c>
      <c r="M27" s="79"/>
      <c r="N27" s="77" t="s">
        <v>1044</v>
      </c>
      <c r="O27" s="77" t="s">
        <v>87</v>
      </c>
      <c r="P27" s="79" t="s">
        <v>88</v>
      </c>
      <c r="Q27" s="79"/>
      <c r="R27" s="76" t="s">
        <v>1795</v>
      </c>
      <c r="S27" s="77">
        <f>"138,9400"</f>
        <v>0</v>
      </c>
      <c r="T27" s="78"/>
    </row>
    <row r="28" spans="1:20" ht="14.25">
      <c r="A28" s="76" t="s">
        <v>1796</v>
      </c>
      <c r="B28" s="77" t="s">
        <v>1022</v>
      </c>
      <c r="C28" s="77" t="s">
        <v>612</v>
      </c>
      <c r="D28" s="77">
        <f>"0,7113"</f>
        <v>0</v>
      </c>
      <c r="E28" s="78" t="s">
        <v>53</v>
      </c>
      <c r="F28" s="77" t="s">
        <v>46</v>
      </c>
      <c r="G28" s="77" t="s">
        <v>131</v>
      </c>
      <c r="H28" s="79"/>
      <c r="I28" s="79"/>
      <c r="J28" s="77" t="s">
        <v>36</v>
      </c>
      <c r="K28" s="77" t="s">
        <v>246</v>
      </c>
      <c r="L28" s="77" t="s">
        <v>312</v>
      </c>
      <c r="M28" s="79"/>
      <c r="N28" s="77" t="s">
        <v>486</v>
      </c>
      <c r="O28" s="77" t="s">
        <v>240</v>
      </c>
      <c r="P28" s="79"/>
      <c r="Q28" s="79"/>
      <c r="R28" s="76" t="s">
        <v>1797</v>
      </c>
      <c r="S28" s="77">
        <f>"382,3167"</f>
        <v>0</v>
      </c>
      <c r="T28" s="78"/>
    </row>
    <row r="29" spans="1:20" ht="14.25">
      <c r="A29" s="72" t="s">
        <v>44</v>
      </c>
      <c r="B29" s="73" t="s">
        <v>48</v>
      </c>
      <c r="C29" s="73" t="s">
        <v>39</v>
      </c>
      <c r="D29" s="73">
        <f>"0,8152"</f>
        <v>0</v>
      </c>
      <c r="E29" s="74" t="s">
        <v>15</v>
      </c>
      <c r="F29" s="73" t="s">
        <v>1434</v>
      </c>
      <c r="G29" s="73" t="s">
        <v>29</v>
      </c>
      <c r="H29" s="73" t="s">
        <v>36</v>
      </c>
      <c r="I29" s="75"/>
      <c r="J29" s="73" t="s">
        <v>217</v>
      </c>
      <c r="K29" s="73" t="s">
        <v>218</v>
      </c>
      <c r="L29" s="75" t="s">
        <v>18</v>
      </c>
      <c r="M29" s="75"/>
      <c r="N29" s="73" t="s">
        <v>169</v>
      </c>
      <c r="O29" s="73" t="s">
        <v>672</v>
      </c>
      <c r="P29" s="73" t="s">
        <v>1031</v>
      </c>
      <c r="Q29" s="75"/>
      <c r="R29" s="72">
        <v>420</v>
      </c>
      <c r="S29" s="73">
        <f>"342,4021"</f>
        <v>0</v>
      </c>
      <c r="T29" s="74"/>
    </row>
    <row r="31" spans="1:19" ht="16.5">
      <c r="A31" s="67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20" ht="14.25">
      <c r="A32" s="68" t="s">
        <v>1798</v>
      </c>
      <c r="B32" s="69" t="s">
        <v>1799</v>
      </c>
      <c r="C32" s="69" t="s">
        <v>210</v>
      </c>
      <c r="D32" s="69">
        <f>"0,6524"</f>
        <v>0</v>
      </c>
      <c r="E32" s="70" t="s">
        <v>1800</v>
      </c>
      <c r="F32" s="69" t="s">
        <v>131</v>
      </c>
      <c r="G32" s="69" t="s">
        <v>87</v>
      </c>
      <c r="H32" s="69" t="s">
        <v>798</v>
      </c>
      <c r="I32" s="71"/>
      <c r="J32" s="69" t="s">
        <v>169</v>
      </c>
      <c r="K32" s="69" t="s">
        <v>62</v>
      </c>
      <c r="L32" s="69" t="s">
        <v>36</v>
      </c>
      <c r="M32" s="71"/>
      <c r="N32" s="69" t="s">
        <v>725</v>
      </c>
      <c r="O32" s="69" t="s">
        <v>83</v>
      </c>
      <c r="P32" s="69" t="s">
        <v>78</v>
      </c>
      <c r="Q32" s="71"/>
      <c r="R32" s="68">
        <v>572.5</v>
      </c>
      <c r="S32" s="69">
        <f>"373,4704"</f>
        <v>0</v>
      </c>
      <c r="T32" s="70"/>
    </row>
    <row r="33" spans="1:20" ht="14.25">
      <c r="A33" s="76" t="s">
        <v>1223</v>
      </c>
      <c r="B33" s="77" t="s">
        <v>1224</v>
      </c>
      <c r="C33" s="77" t="s">
        <v>1039</v>
      </c>
      <c r="D33" s="77">
        <f aca="true" t="shared" si="0" ref="D33:D34">"0,6482"</f>
        <v>0</v>
      </c>
      <c r="E33" s="78" t="s">
        <v>53</v>
      </c>
      <c r="F33" s="77" t="s">
        <v>73</v>
      </c>
      <c r="G33" s="77" t="s">
        <v>250</v>
      </c>
      <c r="H33" s="77" t="s">
        <v>40</v>
      </c>
      <c r="I33" s="79"/>
      <c r="J33" s="77" t="s">
        <v>217</v>
      </c>
      <c r="K33" s="77" t="s">
        <v>17</v>
      </c>
      <c r="L33" s="77" t="s">
        <v>18</v>
      </c>
      <c r="M33" s="79"/>
      <c r="N33" s="77" t="s">
        <v>74</v>
      </c>
      <c r="O33" s="77" t="s">
        <v>78</v>
      </c>
      <c r="P33" s="77" t="s">
        <v>267</v>
      </c>
      <c r="Q33" s="79" t="s">
        <v>1018</v>
      </c>
      <c r="R33" s="76">
        <v>572.5</v>
      </c>
      <c r="S33" s="77">
        <f>"371,0945"</f>
        <v>0</v>
      </c>
      <c r="T33" s="78"/>
    </row>
    <row r="34" spans="1:20" ht="14.25">
      <c r="A34" s="76" t="s">
        <v>1801</v>
      </c>
      <c r="B34" s="77" t="s">
        <v>1802</v>
      </c>
      <c r="C34" s="77" t="s">
        <v>1039</v>
      </c>
      <c r="D34" s="77">
        <f t="shared" si="0"/>
        <v>0</v>
      </c>
      <c r="E34" s="78" t="s">
        <v>223</v>
      </c>
      <c r="F34" s="77" t="s">
        <v>131</v>
      </c>
      <c r="G34" s="79" t="s">
        <v>798</v>
      </c>
      <c r="H34" s="77" t="s">
        <v>798</v>
      </c>
      <c r="I34" s="79"/>
      <c r="J34" s="77" t="s">
        <v>169</v>
      </c>
      <c r="K34" s="77" t="s">
        <v>206</v>
      </c>
      <c r="L34" s="77" t="s">
        <v>62</v>
      </c>
      <c r="M34" s="79"/>
      <c r="N34" s="77" t="s">
        <v>699</v>
      </c>
      <c r="O34" s="77" t="s">
        <v>40</v>
      </c>
      <c r="P34" s="79" t="s">
        <v>316</v>
      </c>
      <c r="Q34" s="79"/>
      <c r="R34" s="76">
        <v>557.5</v>
      </c>
      <c r="S34" s="77">
        <f>"361,3715"</f>
        <v>0</v>
      </c>
      <c r="T34" s="78"/>
    </row>
    <row r="35" spans="1:20" ht="14.25">
      <c r="A35" s="76" t="s">
        <v>1803</v>
      </c>
      <c r="B35" s="77" t="s">
        <v>1804</v>
      </c>
      <c r="C35" s="77" t="s">
        <v>1036</v>
      </c>
      <c r="D35" s="77">
        <f>"0,6446"</f>
        <v>0</v>
      </c>
      <c r="E35" s="78" t="s">
        <v>15</v>
      </c>
      <c r="F35" s="77" t="s">
        <v>1805</v>
      </c>
      <c r="G35" s="79" t="s">
        <v>99</v>
      </c>
      <c r="H35" s="79" t="s">
        <v>99</v>
      </c>
      <c r="I35" s="79"/>
      <c r="J35" s="77" t="s">
        <v>46</v>
      </c>
      <c r="K35" s="77" t="s">
        <v>47</v>
      </c>
      <c r="L35" s="79" t="s">
        <v>240</v>
      </c>
      <c r="M35" s="79"/>
      <c r="N35" s="77" t="s">
        <v>1067</v>
      </c>
      <c r="O35" s="77" t="s">
        <v>99</v>
      </c>
      <c r="P35" s="77" t="s">
        <v>472</v>
      </c>
      <c r="Q35" s="79"/>
      <c r="R35" s="76" t="s">
        <v>1806</v>
      </c>
      <c r="S35" s="77" t="s">
        <v>1807</v>
      </c>
      <c r="T35" s="78"/>
    </row>
    <row r="36" spans="1:20" ht="14.25">
      <c r="A36" s="76" t="s">
        <v>1808</v>
      </c>
      <c r="B36" s="77" t="s">
        <v>1809</v>
      </c>
      <c r="C36" s="77" t="s">
        <v>1810</v>
      </c>
      <c r="D36" s="77">
        <f>"0,6477"</f>
        <v>0</v>
      </c>
      <c r="E36" s="78" t="s">
        <v>509</v>
      </c>
      <c r="F36" s="77" t="s">
        <v>481</v>
      </c>
      <c r="G36" s="79" t="s">
        <v>131</v>
      </c>
      <c r="H36" s="77" t="s">
        <v>131</v>
      </c>
      <c r="I36" s="79"/>
      <c r="J36" s="77" t="s">
        <v>254</v>
      </c>
      <c r="K36" s="77" t="s">
        <v>54</v>
      </c>
      <c r="L36" s="79" t="s">
        <v>246</v>
      </c>
      <c r="M36" s="79"/>
      <c r="N36" s="77" t="s">
        <v>68</v>
      </c>
      <c r="O36" s="77" t="s">
        <v>282</v>
      </c>
      <c r="P36" s="77" t="s">
        <v>79</v>
      </c>
      <c r="Q36" s="79"/>
      <c r="R36" s="76">
        <v>610</v>
      </c>
      <c r="S36" s="77">
        <f>"395,0665"</f>
        <v>0</v>
      </c>
      <c r="T36" s="78"/>
    </row>
    <row r="37" spans="1:20" ht="14.25">
      <c r="A37" s="76" t="s">
        <v>1811</v>
      </c>
      <c r="B37" s="77" t="s">
        <v>1812</v>
      </c>
      <c r="C37" s="77" t="s">
        <v>1813</v>
      </c>
      <c r="D37" s="77">
        <f>"0,6545"</f>
        <v>0</v>
      </c>
      <c r="E37" s="78" t="s">
        <v>1814</v>
      </c>
      <c r="F37" s="79" t="s">
        <v>87</v>
      </c>
      <c r="G37" s="79" t="s">
        <v>87</v>
      </c>
      <c r="H37" s="77" t="s">
        <v>87</v>
      </c>
      <c r="I37" s="79"/>
      <c r="J37" s="77" t="s">
        <v>36</v>
      </c>
      <c r="K37" s="77" t="s">
        <v>672</v>
      </c>
      <c r="L37" s="79" t="s">
        <v>246</v>
      </c>
      <c r="M37" s="79"/>
      <c r="N37" s="77" t="s">
        <v>78</v>
      </c>
      <c r="O37" s="79" t="s">
        <v>429</v>
      </c>
      <c r="P37" s="79" t="s">
        <v>42</v>
      </c>
      <c r="Q37" s="79"/>
      <c r="R37" s="76">
        <v>577.5</v>
      </c>
      <c r="S37" s="77">
        <f>"377,9738"</f>
        <v>0</v>
      </c>
      <c r="T37" s="78"/>
    </row>
    <row r="38" spans="1:20" ht="14.25">
      <c r="A38" s="76" t="s">
        <v>1223</v>
      </c>
      <c r="B38" s="77" t="s">
        <v>1815</v>
      </c>
      <c r="C38" s="77" t="s">
        <v>1039</v>
      </c>
      <c r="D38" s="77">
        <f>"0,6482"</f>
        <v>0</v>
      </c>
      <c r="E38" s="78" t="s">
        <v>53</v>
      </c>
      <c r="F38" s="77" t="s">
        <v>73</v>
      </c>
      <c r="G38" s="77" t="s">
        <v>250</v>
      </c>
      <c r="H38" s="77" t="s">
        <v>40</v>
      </c>
      <c r="I38" s="79"/>
      <c r="J38" s="77" t="s">
        <v>217</v>
      </c>
      <c r="K38" s="77" t="s">
        <v>17</v>
      </c>
      <c r="L38" s="77" t="s">
        <v>18</v>
      </c>
      <c r="M38" s="79"/>
      <c r="N38" s="77" t="s">
        <v>74</v>
      </c>
      <c r="O38" s="77" t="s">
        <v>78</v>
      </c>
      <c r="P38" s="77" t="s">
        <v>267</v>
      </c>
      <c r="Q38" s="79" t="s">
        <v>1018</v>
      </c>
      <c r="R38" s="76">
        <v>572.5</v>
      </c>
      <c r="S38" s="77">
        <f>"371,0945"</f>
        <v>0</v>
      </c>
      <c r="T38" s="78"/>
    </row>
    <row r="39" spans="1:20" ht="14.25">
      <c r="A39" s="76" t="s">
        <v>1816</v>
      </c>
      <c r="B39" s="77" t="s">
        <v>1817</v>
      </c>
      <c r="C39" s="77" t="s">
        <v>1818</v>
      </c>
      <c r="D39" s="77">
        <f>"0,9119"</f>
        <v>0</v>
      </c>
      <c r="E39" s="78" t="s">
        <v>412</v>
      </c>
      <c r="F39" s="77" t="s">
        <v>481</v>
      </c>
      <c r="G39" s="77" t="s">
        <v>131</v>
      </c>
      <c r="H39" s="77" t="s">
        <v>212</v>
      </c>
      <c r="I39" s="79"/>
      <c r="J39" s="77" t="s">
        <v>665</v>
      </c>
      <c r="K39" s="77" t="s">
        <v>29</v>
      </c>
      <c r="L39" s="79" t="s">
        <v>1356</v>
      </c>
      <c r="M39" s="79"/>
      <c r="N39" s="77" t="s">
        <v>1819</v>
      </c>
      <c r="O39" s="77" t="s">
        <v>831</v>
      </c>
      <c r="P39" s="79" t="s">
        <v>349</v>
      </c>
      <c r="Q39" s="79"/>
      <c r="R39" s="76">
        <v>532.5</v>
      </c>
      <c r="S39" s="77">
        <f>"485,6065"</f>
        <v>0</v>
      </c>
      <c r="T39" s="78"/>
    </row>
    <row r="40" spans="1:20" ht="14.25">
      <c r="A40" s="72" t="s">
        <v>1820</v>
      </c>
      <c r="B40" s="73" t="s">
        <v>1821</v>
      </c>
      <c r="C40" s="73" t="s">
        <v>1822</v>
      </c>
      <c r="D40" s="73">
        <f>"0,9695"</f>
        <v>0</v>
      </c>
      <c r="E40" s="74" t="s">
        <v>15</v>
      </c>
      <c r="F40" s="73" t="s">
        <v>895</v>
      </c>
      <c r="G40" s="73" t="s">
        <v>486</v>
      </c>
      <c r="H40" s="73" t="s">
        <v>46</v>
      </c>
      <c r="I40" s="75"/>
      <c r="J40" s="73" t="s">
        <v>372</v>
      </c>
      <c r="K40" s="75" t="s">
        <v>540</v>
      </c>
      <c r="L40" s="75" t="s">
        <v>540</v>
      </c>
      <c r="M40" s="75"/>
      <c r="N40" s="73" t="s">
        <v>54</v>
      </c>
      <c r="O40" s="73" t="s">
        <v>46</v>
      </c>
      <c r="P40" s="75" t="s">
        <v>47</v>
      </c>
      <c r="Q40" s="75"/>
      <c r="R40" s="72">
        <v>340</v>
      </c>
      <c r="S40" s="73">
        <f>"329,6211"</f>
        <v>0</v>
      </c>
      <c r="T40" s="74"/>
    </row>
    <row r="42" spans="1:19" ht="16.5">
      <c r="A42" s="67" t="s">
        <v>63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20" ht="14.25">
      <c r="A43" s="68" t="s">
        <v>1046</v>
      </c>
      <c r="B43" s="69" t="s">
        <v>1047</v>
      </c>
      <c r="C43" s="69" t="s">
        <v>1823</v>
      </c>
      <c r="D43" s="69">
        <f>"0,6169"</f>
        <v>0</v>
      </c>
      <c r="E43" s="70" t="s">
        <v>536</v>
      </c>
      <c r="F43" s="69" t="s">
        <v>1100</v>
      </c>
      <c r="G43" s="69" t="s">
        <v>1456</v>
      </c>
      <c r="H43" s="69" t="s">
        <v>105</v>
      </c>
      <c r="I43" s="71"/>
      <c r="J43" s="69" t="s">
        <v>895</v>
      </c>
      <c r="K43" s="69" t="s">
        <v>246</v>
      </c>
      <c r="L43" s="69" t="s">
        <v>312</v>
      </c>
      <c r="M43" s="71"/>
      <c r="N43" s="69" t="s">
        <v>78</v>
      </c>
      <c r="O43" s="69" t="s">
        <v>279</v>
      </c>
      <c r="P43" s="69" t="s">
        <v>1074</v>
      </c>
      <c r="Q43" s="71"/>
      <c r="R43" s="68">
        <v>725</v>
      </c>
      <c r="S43" s="69">
        <f>"447,2163"</f>
        <v>0</v>
      </c>
      <c r="T43" s="70"/>
    </row>
    <row r="44" spans="1:20" ht="14.25">
      <c r="A44" s="76" t="s">
        <v>1824</v>
      </c>
      <c r="B44" s="77" t="s">
        <v>1825</v>
      </c>
      <c r="C44" s="77" t="s">
        <v>422</v>
      </c>
      <c r="D44" s="77">
        <f>"0,6145"</f>
        <v>0</v>
      </c>
      <c r="E44" s="78" t="s">
        <v>369</v>
      </c>
      <c r="F44" s="77" t="s">
        <v>298</v>
      </c>
      <c r="G44" s="77" t="s">
        <v>100</v>
      </c>
      <c r="H44" s="77" t="s">
        <v>435</v>
      </c>
      <c r="I44" s="79"/>
      <c r="J44" s="77" t="s">
        <v>46</v>
      </c>
      <c r="K44" s="77" t="s">
        <v>47</v>
      </c>
      <c r="L44" s="79" t="s">
        <v>240</v>
      </c>
      <c r="M44" s="79"/>
      <c r="N44" s="77" t="s">
        <v>353</v>
      </c>
      <c r="O44" s="77" t="s">
        <v>298</v>
      </c>
      <c r="P44" s="79" t="s">
        <v>362</v>
      </c>
      <c r="Q44" s="79"/>
      <c r="R44" s="76">
        <v>845</v>
      </c>
      <c r="S44" s="77">
        <f>"519,2947"</f>
        <v>0</v>
      </c>
      <c r="T44" s="78"/>
    </row>
    <row r="45" spans="1:20" ht="14.25">
      <c r="A45" s="76" t="s">
        <v>1293</v>
      </c>
      <c r="B45" s="77" t="s">
        <v>1294</v>
      </c>
      <c r="C45" s="77" t="s">
        <v>263</v>
      </c>
      <c r="D45" s="77">
        <f>"0,6184"</f>
        <v>0</v>
      </c>
      <c r="E45" s="78" t="s">
        <v>58</v>
      </c>
      <c r="F45" s="77" t="s">
        <v>87</v>
      </c>
      <c r="G45" s="79" t="s">
        <v>42</v>
      </c>
      <c r="H45" s="77" t="s">
        <v>79</v>
      </c>
      <c r="I45" s="79"/>
      <c r="J45" s="77" t="s">
        <v>481</v>
      </c>
      <c r="K45" s="79" t="s">
        <v>240</v>
      </c>
      <c r="L45" s="79" t="s">
        <v>240</v>
      </c>
      <c r="M45" s="79"/>
      <c r="N45" s="77" t="s">
        <v>353</v>
      </c>
      <c r="O45" s="79" t="s">
        <v>298</v>
      </c>
      <c r="P45" s="79" t="s">
        <v>298</v>
      </c>
      <c r="Q45" s="79"/>
      <c r="R45" s="76" t="s">
        <v>1826</v>
      </c>
      <c r="S45" s="77" t="s">
        <v>1827</v>
      </c>
      <c r="T45" s="78"/>
    </row>
    <row r="46" spans="1:20" ht="14.25">
      <c r="A46" s="76" t="s">
        <v>1828</v>
      </c>
      <c r="B46" s="77" t="s">
        <v>1829</v>
      </c>
      <c r="C46" s="77" t="s">
        <v>1830</v>
      </c>
      <c r="D46" s="77">
        <f>"0,6165"</f>
        <v>0</v>
      </c>
      <c r="E46" s="78" t="s">
        <v>369</v>
      </c>
      <c r="F46" s="77" t="s">
        <v>1487</v>
      </c>
      <c r="G46" s="79" t="s">
        <v>353</v>
      </c>
      <c r="H46" s="77" t="s">
        <v>353</v>
      </c>
      <c r="I46" s="79"/>
      <c r="J46" s="77" t="s">
        <v>895</v>
      </c>
      <c r="K46" s="79" t="s">
        <v>246</v>
      </c>
      <c r="L46" s="79" t="s">
        <v>246</v>
      </c>
      <c r="M46" s="79"/>
      <c r="N46" s="77" t="s">
        <v>68</v>
      </c>
      <c r="O46" s="77" t="s">
        <v>283</v>
      </c>
      <c r="P46" s="77" t="s">
        <v>1298</v>
      </c>
      <c r="Q46" s="79"/>
      <c r="R46" s="76" t="s">
        <v>1831</v>
      </c>
      <c r="S46" s="77" t="s">
        <v>1832</v>
      </c>
      <c r="T46" s="78"/>
    </row>
    <row r="47" spans="1:20" ht="14.25">
      <c r="A47" s="76" t="s">
        <v>1833</v>
      </c>
      <c r="B47" s="77" t="s">
        <v>1243</v>
      </c>
      <c r="C47" s="77" t="s">
        <v>1609</v>
      </c>
      <c r="D47" s="77">
        <f>"0,6130"</f>
        <v>0</v>
      </c>
      <c r="E47" s="78" t="s">
        <v>15</v>
      </c>
      <c r="F47" s="77" t="s">
        <v>333</v>
      </c>
      <c r="G47" s="79" t="s">
        <v>1456</v>
      </c>
      <c r="H47" s="79" t="s">
        <v>1456</v>
      </c>
      <c r="I47" s="79"/>
      <c r="J47" s="79" t="s">
        <v>725</v>
      </c>
      <c r="K47" s="77" t="s">
        <v>87</v>
      </c>
      <c r="L47" s="79" t="s">
        <v>798</v>
      </c>
      <c r="M47" s="79"/>
      <c r="N47" s="79" t="s">
        <v>78</v>
      </c>
      <c r="O47" s="77" t="s">
        <v>78</v>
      </c>
      <c r="P47" s="77" t="s">
        <v>429</v>
      </c>
      <c r="Q47" s="79"/>
      <c r="R47" s="76" t="s">
        <v>1834</v>
      </c>
      <c r="S47" s="77" t="s">
        <v>1835</v>
      </c>
      <c r="T47" s="78"/>
    </row>
    <row r="48" spans="1:20" ht="14.25">
      <c r="A48" s="76" t="s">
        <v>1071</v>
      </c>
      <c r="B48" s="77" t="s">
        <v>1072</v>
      </c>
      <c r="C48" s="77" t="s">
        <v>1055</v>
      </c>
      <c r="D48" s="77">
        <f>"0,6157"</f>
        <v>0</v>
      </c>
      <c r="E48" s="78" t="s">
        <v>536</v>
      </c>
      <c r="F48" s="77" t="s">
        <v>41</v>
      </c>
      <c r="G48" s="79" t="s">
        <v>68</v>
      </c>
      <c r="H48" s="77" t="s">
        <v>282</v>
      </c>
      <c r="I48" s="79"/>
      <c r="J48" s="77" t="s">
        <v>36</v>
      </c>
      <c r="K48" s="77" t="s">
        <v>54</v>
      </c>
      <c r="L48" s="77" t="s">
        <v>312</v>
      </c>
      <c r="M48" s="79"/>
      <c r="N48" s="77" t="s">
        <v>115</v>
      </c>
      <c r="O48" s="79" t="s">
        <v>68</v>
      </c>
      <c r="P48" s="79" t="s">
        <v>68</v>
      </c>
      <c r="Q48" s="79"/>
      <c r="R48" s="76" t="s">
        <v>1836</v>
      </c>
      <c r="S48" s="77" t="s">
        <v>1837</v>
      </c>
      <c r="T48" s="78"/>
    </row>
    <row r="49" spans="1:20" ht="14.25">
      <c r="A49" s="76" t="s">
        <v>1838</v>
      </c>
      <c r="B49" s="77" t="s">
        <v>1839</v>
      </c>
      <c r="C49" s="77" t="s">
        <v>703</v>
      </c>
      <c r="D49" s="77">
        <f>"0,6181"</f>
        <v>0</v>
      </c>
      <c r="E49" s="78" t="s">
        <v>1156</v>
      </c>
      <c r="F49" s="77" t="s">
        <v>880</v>
      </c>
      <c r="G49" s="77" t="s">
        <v>78</v>
      </c>
      <c r="H49" s="79" t="s">
        <v>41</v>
      </c>
      <c r="I49" s="79"/>
      <c r="J49" s="77" t="s">
        <v>36</v>
      </c>
      <c r="K49" s="77" t="s">
        <v>54</v>
      </c>
      <c r="L49" s="79" t="s">
        <v>678</v>
      </c>
      <c r="M49" s="79"/>
      <c r="N49" s="77" t="s">
        <v>725</v>
      </c>
      <c r="O49" s="77" t="s">
        <v>74</v>
      </c>
      <c r="P49" s="77" t="s">
        <v>83</v>
      </c>
      <c r="Q49" s="79"/>
      <c r="R49" s="76">
        <v>605</v>
      </c>
      <c r="S49" s="77">
        <f>"373,9505"</f>
        <v>0</v>
      </c>
      <c r="T49" s="78"/>
    </row>
    <row r="50" spans="1:20" ht="14.25">
      <c r="A50" s="76" t="s">
        <v>1840</v>
      </c>
      <c r="B50" s="77" t="s">
        <v>1841</v>
      </c>
      <c r="C50" s="77" t="s">
        <v>1842</v>
      </c>
      <c r="D50" s="77">
        <f>"0,6431"</f>
        <v>0</v>
      </c>
      <c r="E50" s="78" t="s">
        <v>15</v>
      </c>
      <c r="F50" s="79" t="s">
        <v>41</v>
      </c>
      <c r="G50" s="79" t="s">
        <v>41</v>
      </c>
      <c r="H50" s="79" t="s">
        <v>41</v>
      </c>
      <c r="I50" s="79"/>
      <c r="J50" s="79" t="s">
        <v>29</v>
      </c>
      <c r="K50" s="79"/>
      <c r="L50" s="79"/>
      <c r="M50" s="79"/>
      <c r="N50" s="79"/>
      <c r="O50" s="79"/>
      <c r="P50" s="79"/>
      <c r="Q50" s="79"/>
      <c r="R50" s="76">
        <v>0</v>
      </c>
      <c r="S50" s="77">
        <f>"0,0000"</f>
        <v>0</v>
      </c>
      <c r="T50" s="78"/>
    </row>
    <row r="51" spans="1:20" ht="14.25">
      <c r="A51" s="76" t="s">
        <v>1843</v>
      </c>
      <c r="B51" s="77" t="s">
        <v>1844</v>
      </c>
      <c r="C51" s="77" t="s">
        <v>1845</v>
      </c>
      <c r="D51" s="77">
        <f>"0,6317"</f>
        <v>0</v>
      </c>
      <c r="E51" s="78" t="s">
        <v>1846</v>
      </c>
      <c r="F51" s="77" t="s">
        <v>486</v>
      </c>
      <c r="G51" s="77" t="s">
        <v>47</v>
      </c>
      <c r="H51" s="79" t="s">
        <v>87</v>
      </c>
      <c r="I51" s="79"/>
      <c r="J51" s="77" t="s">
        <v>206</v>
      </c>
      <c r="K51" s="77" t="s">
        <v>774</v>
      </c>
      <c r="L51" s="79" t="s">
        <v>54</v>
      </c>
      <c r="M51" s="79"/>
      <c r="N51" s="77" t="s">
        <v>47</v>
      </c>
      <c r="O51" s="77" t="s">
        <v>212</v>
      </c>
      <c r="P51" s="77" t="s">
        <v>73</v>
      </c>
      <c r="Q51" s="79"/>
      <c r="R51" s="76">
        <v>527.5</v>
      </c>
      <c r="S51" s="77">
        <f>"333,2217"</f>
        <v>0</v>
      </c>
      <c r="T51" s="78"/>
    </row>
    <row r="52" spans="1:20" ht="14.25">
      <c r="A52" s="72" t="s">
        <v>1847</v>
      </c>
      <c r="B52" s="73" t="s">
        <v>1848</v>
      </c>
      <c r="C52" s="73" t="s">
        <v>716</v>
      </c>
      <c r="D52" s="73">
        <f>"0,6597"</f>
        <v>0</v>
      </c>
      <c r="E52" s="74" t="s">
        <v>562</v>
      </c>
      <c r="F52" s="73" t="s">
        <v>131</v>
      </c>
      <c r="G52" s="73" t="s">
        <v>87</v>
      </c>
      <c r="H52" s="75" t="s">
        <v>88</v>
      </c>
      <c r="I52" s="75"/>
      <c r="J52" s="73" t="s">
        <v>1849</v>
      </c>
      <c r="K52" s="73" t="s">
        <v>120</v>
      </c>
      <c r="L52" s="73" t="s">
        <v>54</v>
      </c>
      <c r="M52" s="75"/>
      <c r="N52" s="73" t="s">
        <v>1618</v>
      </c>
      <c r="O52" s="75" t="s">
        <v>1018</v>
      </c>
      <c r="P52" s="75" t="s">
        <v>1018</v>
      </c>
      <c r="Q52" s="75"/>
      <c r="R52" s="72">
        <v>350</v>
      </c>
      <c r="S52" s="73">
        <f>"230,8962"</f>
        <v>0</v>
      </c>
      <c r="T52" s="74"/>
    </row>
    <row r="54" spans="1:19" ht="16.5">
      <c r="A54" s="67" t="s">
        <v>69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20" ht="14.25">
      <c r="A55" s="68" t="s">
        <v>744</v>
      </c>
      <c r="B55" s="69" t="s">
        <v>745</v>
      </c>
      <c r="C55" s="69" t="s">
        <v>1850</v>
      </c>
      <c r="D55" s="69">
        <f>"0,5984"</f>
        <v>0</v>
      </c>
      <c r="E55" s="70" t="s">
        <v>536</v>
      </c>
      <c r="F55" s="71" t="s">
        <v>87</v>
      </c>
      <c r="G55" s="69" t="s">
        <v>73</v>
      </c>
      <c r="H55" s="71" t="s">
        <v>74</v>
      </c>
      <c r="I55" s="71"/>
      <c r="J55" s="69" t="s">
        <v>627</v>
      </c>
      <c r="K55" s="71" t="s">
        <v>46</v>
      </c>
      <c r="L55" s="71" t="s">
        <v>46</v>
      </c>
      <c r="M55" s="71"/>
      <c r="N55" s="71" t="s">
        <v>699</v>
      </c>
      <c r="O55" s="69" t="s">
        <v>74</v>
      </c>
      <c r="P55" s="69" t="s">
        <v>78</v>
      </c>
      <c r="Q55" s="71"/>
      <c r="R55" s="68" t="s">
        <v>1851</v>
      </c>
      <c r="S55" s="69" t="s">
        <v>1852</v>
      </c>
      <c r="T55" s="70"/>
    </row>
    <row r="56" spans="1:20" ht="14.25">
      <c r="A56" s="76" t="s">
        <v>783</v>
      </c>
      <c r="B56" s="77" t="s">
        <v>784</v>
      </c>
      <c r="C56" s="77" t="s">
        <v>1853</v>
      </c>
      <c r="D56" s="77">
        <f>"0,5843"</f>
        <v>0</v>
      </c>
      <c r="E56" s="78" t="s">
        <v>786</v>
      </c>
      <c r="F56" s="79" t="s">
        <v>88</v>
      </c>
      <c r="G56" s="77" t="s">
        <v>88</v>
      </c>
      <c r="H56" s="79" t="s">
        <v>83</v>
      </c>
      <c r="I56" s="79"/>
      <c r="J56" s="77" t="s">
        <v>486</v>
      </c>
      <c r="K56" s="77" t="s">
        <v>46</v>
      </c>
      <c r="L56" s="77" t="s">
        <v>93</v>
      </c>
      <c r="M56" s="79"/>
      <c r="N56" s="77" t="s">
        <v>115</v>
      </c>
      <c r="O56" s="77" t="s">
        <v>42</v>
      </c>
      <c r="P56" s="79" t="s">
        <v>68</v>
      </c>
      <c r="Q56" s="79"/>
      <c r="R56" s="76" t="s">
        <v>1854</v>
      </c>
      <c r="S56" s="77" t="s">
        <v>1855</v>
      </c>
      <c r="T56" s="78"/>
    </row>
    <row r="57" spans="1:20" ht="14.25">
      <c r="A57" s="76" t="s">
        <v>1056</v>
      </c>
      <c r="B57" s="77" t="s">
        <v>1057</v>
      </c>
      <c r="C57" s="77" t="s">
        <v>286</v>
      </c>
      <c r="D57" s="77">
        <f>"0,5828"</f>
        <v>0</v>
      </c>
      <c r="E57" s="78" t="s">
        <v>1059</v>
      </c>
      <c r="F57" s="77" t="s">
        <v>131</v>
      </c>
      <c r="G57" s="77" t="s">
        <v>87</v>
      </c>
      <c r="H57" s="77" t="s">
        <v>40</v>
      </c>
      <c r="I57" s="79"/>
      <c r="J57" s="77" t="s">
        <v>1849</v>
      </c>
      <c r="K57" s="77" t="s">
        <v>120</v>
      </c>
      <c r="L57" s="77" t="s">
        <v>54</v>
      </c>
      <c r="M57" s="79"/>
      <c r="N57" s="77" t="s">
        <v>1044</v>
      </c>
      <c r="O57" s="77" t="s">
        <v>88</v>
      </c>
      <c r="P57" s="77" t="s">
        <v>40</v>
      </c>
      <c r="Q57" s="79"/>
      <c r="R57" s="76" t="s">
        <v>1856</v>
      </c>
      <c r="S57" s="77">
        <f>"343,8520"</f>
        <v>0</v>
      </c>
      <c r="T57" s="78"/>
    </row>
    <row r="58" spans="1:20" ht="14.25">
      <c r="A58" s="76" t="s">
        <v>1857</v>
      </c>
      <c r="B58" s="77" t="s">
        <v>1858</v>
      </c>
      <c r="C58" s="77" t="s">
        <v>1853</v>
      </c>
      <c r="D58" s="77">
        <f>"0,5843"</f>
        <v>0</v>
      </c>
      <c r="E58" s="78" t="s">
        <v>1859</v>
      </c>
      <c r="F58" s="79" t="s">
        <v>1860</v>
      </c>
      <c r="G58" s="77" t="s">
        <v>362</v>
      </c>
      <c r="H58" s="77" t="s">
        <v>364</v>
      </c>
      <c r="I58" s="79"/>
      <c r="J58" s="77" t="s">
        <v>46</v>
      </c>
      <c r="K58" s="77" t="s">
        <v>47</v>
      </c>
      <c r="L58" s="79" t="s">
        <v>812</v>
      </c>
      <c r="M58" s="79"/>
      <c r="N58" s="77" t="s">
        <v>333</v>
      </c>
      <c r="O58" s="77" t="s">
        <v>104</v>
      </c>
      <c r="P58" s="77" t="s">
        <v>353</v>
      </c>
      <c r="Q58" s="79"/>
      <c r="R58" s="76">
        <v>825</v>
      </c>
      <c r="S58" s="77">
        <f>"482,0475"</f>
        <v>0</v>
      </c>
      <c r="T58" s="78"/>
    </row>
    <row r="59" spans="1:20" ht="14.25">
      <c r="A59" s="76" t="s">
        <v>1069</v>
      </c>
      <c r="B59" s="77" t="s">
        <v>1070</v>
      </c>
      <c r="C59" s="77" t="s">
        <v>1861</v>
      </c>
      <c r="D59" s="77">
        <f>"0,6040"</f>
        <v>0</v>
      </c>
      <c r="E59" s="78" t="s">
        <v>536</v>
      </c>
      <c r="F59" s="77" t="s">
        <v>1453</v>
      </c>
      <c r="G59" s="77" t="s">
        <v>353</v>
      </c>
      <c r="H59" s="79" t="s">
        <v>98</v>
      </c>
      <c r="I59" s="79"/>
      <c r="J59" s="77" t="s">
        <v>481</v>
      </c>
      <c r="K59" s="77" t="s">
        <v>131</v>
      </c>
      <c r="L59" s="79" t="s">
        <v>212</v>
      </c>
      <c r="M59" s="79"/>
      <c r="N59" s="77" t="s">
        <v>1100</v>
      </c>
      <c r="O59" s="77" t="s">
        <v>333</v>
      </c>
      <c r="P59" s="79" t="s">
        <v>1456</v>
      </c>
      <c r="Q59" s="79"/>
      <c r="R59" s="76">
        <v>770</v>
      </c>
      <c r="S59" s="77">
        <f>"465,0800"</f>
        <v>0</v>
      </c>
      <c r="T59" s="78"/>
    </row>
    <row r="60" spans="1:20" ht="14.25">
      <c r="A60" s="76" t="s">
        <v>75</v>
      </c>
      <c r="B60" s="77" t="s">
        <v>76</v>
      </c>
      <c r="C60" s="77" t="s">
        <v>1862</v>
      </c>
      <c r="D60" s="77">
        <f>"0,5952"</f>
        <v>0</v>
      </c>
      <c r="E60" s="78" t="s">
        <v>53</v>
      </c>
      <c r="F60" s="77" t="s">
        <v>333</v>
      </c>
      <c r="G60" s="79" t="s">
        <v>353</v>
      </c>
      <c r="H60" s="77" t="s">
        <v>98</v>
      </c>
      <c r="I60" s="79" t="s">
        <v>349</v>
      </c>
      <c r="J60" s="77" t="s">
        <v>131</v>
      </c>
      <c r="K60" s="77" t="s">
        <v>87</v>
      </c>
      <c r="L60" s="79" t="s">
        <v>73</v>
      </c>
      <c r="M60" s="79"/>
      <c r="N60" s="77" t="s">
        <v>115</v>
      </c>
      <c r="O60" s="77" t="s">
        <v>42</v>
      </c>
      <c r="P60" s="77" t="s">
        <v>68</v>
      </c>
      <c r="Q60" s="79"/>
      <c r="R60" s="76">
        <v>770</v>
      </c>
      <c r="S60" s="77">
        <f>"458,3040"</f>
        <v>0</v>
      </c>
      <c r="T60" s="78"/>
    </row>
    <row r="61" spans="1:20" ht="14.25">
      <c r="A61" s="76" t="s">
        <v>1863</v>
      </c>
      <c r="B61" s="77" t="s">
        <v>1864</v>
      </c>
      <c r="C61" s="77" t="s">
        <v>1239</v>
      </c>
      <c r="D61" s="77">
        <f>"0,5896"</f>
        <v>0</v>
      </c>
      <c r="E61" s="78" t="s">
        <v>15</v>
      </c>
      <c r="F61" s="77" t="s">
        <v>68</v>
      </c>
      <c r="G61" s="77" t="s">
        <v>79</v>
      </c>
      <c r="H61" s="77" t="s">
        <v>333</v>
      </c>
      <c r="I61" s="79"/>
      <c r="J61" s="77" t="s">
        <v>481</v>
      </c>
      <c r="K61" s="77" t="s">
        <v>131</v>
      </c>
      <c r="L61" s="79" t="s">
        <v>212</v>
      </c>
      <c r="M61" s="79"/>
      <c r="N61" s="77" t="s">
        <v>333</v>
      </c>
      <c r="O61" s="79" t="s">
        <v>104</v>
      </c>
      <c r="P61" s="79" t="s">
        <v>349</v>
      </c>
      <c r="Q61" s="79"/>
      <c r="R61" s="76">
        <v>750</v>
      </c>
      <c r="S61" s="77">
        <f>"442,2375"</f>
        <v>0</v>
      </c>
      <c r="T61" s="78"/>
    </row>
    <row r="62" spans="1:20" ht="14.25">
      <c r="A62" s="76" t="s">
        <v>1865</v>
      </c>
      <c r="B62" s="77" t="s">
        <v>1866</v>
      </c>
      <c r="C62" s="77" t="s">
        <v>1867</v>
      </c>
      <c r="D62" s="77">
        <f>"0,5929"</f>
        <v>0</v>
      </c>
      <c r="E62" s="78" t="s">
        <v>15</v>
      </c>
      <c r="F62" s="77" t="s">
        <v>333</v>
      </c>
      <c r="G62" s="79" t="s">
        <v>353</v>
      </c>
      <c r="H62" s="77" t="s">
        <v>353</v>
      </c>
      <c r="I62" s="79"/>
      <c r="J62" s="77" t="s">
        <v>895</v>
      </c>
      <c r="K62" s="77" t="s">
        <v>486</v>
      </c>
      <c r="L62" s="79" t="s">
        <v>46</v>
      </c>
      <c r="M62" s="79"/>
      <c r="N62" s="77" t="s">
        <v>42</v>
      </c>
      <c r="O62" s="77" t="s">
        <v>68</v>
      </c>
      <c r="P62" s="77" t="s">
        <v>282</v>
      </c>
      <c r="Q62" s="79"/>
      <c r="R62" s="76">
        <v>725</v>
      </c>
      <c r="S62" s="77">
        <f>"429,8163"</f>
        <v>0</v>
      </c>
      <c r="T62" s="78"/>
    </row>
    <row r="63" spans="1:20" ht="14.25">
      <c r="A63" s="76" t="s">
        <v>1868</v>
      </c>
      <c r="B63" s="77" t="s">
        <v>1869</v>
      </c>
      <c r="C63" s="77" t="s">
        <v>82</v>
      </c>
      <c r="D63" s="77">
        <f>"0,5838"</f>
        <v>0</v>
      </c>
      <c r="E63" s="78" t="s">
        <v>223</v>
      </c>
      <c r="F63" s="79" t="s">
        <v>78</v>
      </c>
      <c r="G63" s="79" t="s">
        <v>41</v>
      </c>
      <c r="H63" s="77" t="s">
        <v>68</v>
      </c>
      <c r="I63" s="79"/>
      <c r="J63" s="77" t="s">
        <v>36</v>
      </c>
      <c r="K63" s="77" t="s">
        <v>486</v>
      </c>
      <c r="L63" s="79" t="s">
        <v>92</v>
      </c>
      <c r="M63" s="79"/>
      <c r="N63" s="77" t="s">
        <v>115</v>
      </c>
      <c r="O63" s="77" t="s">
        <v>68</v>
      </c>
      <c r="P63" s="77" t="s">
        <v>79</v>
      </c>
      <c r="Q63" s="79"/>
      <c r="R63" s="76">
        <v>690</v>
      </c>
      <c r="S63" s="77">
        <f>"402,8220"</f>
        <v>0</v>
      </c>
      <c r="T63" s="78"/>
    </row>
    <row r="64" spans="1:20" ht="14.25">
      <c r="A64" s="76" t="s">
        <v>1299</v>
      </c>
      <c r="B64" s="77" t="s">
        <v>1300</v>
      </c>
      <c r="C64" s="77" t="s">
        <v>1239</v>
      </c>
      <c r="D64" s="77">
        <f>"0,5896"</f>
        <v>0</v>
      </c>
      <c r="E64" s="78" t="s">
        <v>1156</v>
      </c>
      <c r="F64" s="77" t="s">
        <v>895</v>
      </c>
      <c r="G64" s="77" t="s">
        <v>93</v>
      </c>
      <c r="H64" s="77" t="s">
        <v>87</v>
      </c>
      <c r="I64" s="79"/>
      <c r="J64" s="77" t="s">
        <v>36</v>
      </c>
      <c r="K64" s="79" t="s">
        <v>54</v>
      </c>
      <c r="L64" s="79" t="s">
        <v>54</v>
      </c>
      <c r="M64" s="79"/>
      <c r="N64" s="77" t="s">
        <v>42</v>
      </c>
      <c r="O64" s="79" t="s">
        <v>283</v>
      </c>
      <c r="P64" s="79"/>
      <c r="Q64" s="79"/>
      <c r="R64" s="76" t="s">
        <v>1856</v>
      </c>
      <c r="S64" s="77" t="s">
        <v>1870</v>
      </c>
      <c r="T64" s="78"/>
    </row>
    <row r="65" spans="1:20" ht="14.25">
      <c r="A65" s="76" t="s">
        <v>1871</v>
      </c>
      <c r="B65" s="77" t="s">
        <v>1872</v>
      </c>
      <c r="C65" s="77" t="s">
        <v>749</v>
      </c>
      <c r="D65" s="77">
        <f>"0,5894"</f>
        <v>0</v>
      </c>
      <c r="E65" s="78" t="s">
        <v>53</v>
      </c>
      <c r="F65" s="77" t="s">
        <v>74</v>
      </c>
      <c r="G65" s="77" t="s">
        <v>78</v>
      </c>
      <c r="H65" s="79" t="s">
        <v>42</v>
      </c>
      <c r="I65" s="79"/>
      <c r="J65" s="77" t="s">
        <v>486</v>
      </c>
      <c r="K65" s="77" t="s">
        <v>46</v>
      </c>
      <c r="L65" s="79" t="s">
        <v>47</v>
      </c>
      <c r="M65" s="79"/>
      <c r="N65" s="77" t="s">
        <v>725</v>
      </c>
      <c r="O65" s="77" t="s">
        <v>74</v>
      </c>
      <c r="P65" s="79" t="s">
        <v>40</v>
      </c>
      <c r="Q65" s="79"/>
      <c r="R65" s="76">
        <v>615</v>
      </c>
      <c r="S65" s="77">
        <f>"362,4810"</f>
        <v>0</v>
      </c>
      <c r="T65" s="78"/>
    </row>
    <row r="66" spans="1:20" ht="14.25">
      <c r="A66" s="72" t="s">
        <v>1367</v>
      </c>
      <c r="B66" s="73" t="s">
        <v>1368</v>
      </c>
      <c r="C66" s="73" t="s">
        <v>767</v>
      </c>
      <c r="D66" s="73">
        <f>"0,7048"</f>
        <v>0</v>
      </c>
      <c r="E66" s="74" t="s">
        <v>15</v>
      </c>
      <c r="F66" s="73" t="s">
        <v>46</v>
      </c>
      <c r="G66" s="73" t="s">
        <v>47</v>
      </c>
      <c r="H66" s="73" t="s">
        <v>131</v>
      </c>
      <c r="I66" s="75"/>
      <c r="J66" s="73" t="s">
        <v>581</v>
      </c>
      <c r="K66" s="73" t="s">
        <v>16</v>
      </c>
      <c r="L66" s="75" t="s">
        <v>30</v>
      </c>
      <c r="M66" s="75"/>
      <c r="N66" s="73" t="s">
        <v>46</v>
      </c>
      <c r="O66" s="73" t="s">
        <v>240</v>
      </c>
      <c r="P66" s="75" t="s">
        <v>87</v>
      </c>
      <c r="Q66" s="75"/>
      <c r="R66" s="72">
        <v>475</v>
      </c>
      <c r="S66" s="73">
        <f>"334,7919"</f>
        <v>0</v>
      </c>
      <c r="T66" s="74"/>
    </row>
    <row r="68" spans="1:19" ht="16.5">
      <c r="A68" s="67" t="s">
        <v>94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1:20" ht="14.25">
      <c r="A69" s="68" t="s">
        <v>1873</v>
      </c>
      <c r="B69" s="69" t="s">
        <v>1874</v>
      </c>
      <c r="C69" s="69" t="s">
        <v>1875</v>
      </c>
      <c r="D69" s="69">
        <f>"0,5670"</f>
        <v>0</v>
      </c>
      <c r="E69" s="70" t="s">
        <v>1557</v>
      </c>
      <c r="F69" s="71" t="s">
        <v>1067</v>
      </c>
      <c r="G69" s="71" t="s">
        <v>370</v>
      </c>
      <c r="H69" s="69" t="s">
        <v>370</v>
      </c>
      <c r="I69" s="71"/>
      <c r="J69" s="69" t="s">
        <v>46</v>
      </c>
      <c r="K69" s="69" t="s">
        <v>47</v>
      </c>
      <c r="L69" s="71" t="s">
        <v>812</v>
      </c>
      <c r="M69" s="71"/>
      <c r="N69" s="69" t="s">
        <v>370</v>
      </c>
      <c r="O69" s="69" t="s">
        <v>472</v>
      </c>
      <c r="P69" s="71" t="s">
        <v>364</v>
      </c>
      <c r="Q69" s="71"/>
      <c r="R69" s="68">
        <v>840</v>
      </c>
      <c r="S69" s="69">
        <f>"476,2380"</f>
        <v>0</v>
      </c>
      <c r="T69" s="70"/>
    </row>
    <row r="70" spans="1:20" ht="14.25">
      <c r="A70" s="76" t="s">
        <v>1095</v>
      </c>
      <c r="B70" s="77" t="s">
        <v>1096</v>
      </c>
      <c r="C70" s="77" t="s">
        <v>119</v>
      </c>
      <c r="D70" s="77">
        <f>"0,5655"</f>
        <v>0</v>
      </c>
      <c r="E70" s="78" t="s">
        <v>223</v>
      </c>
      <c r="F70" s="77" t="s">
        <v>68</v>
      </c>
      <c r="G70" s="79" t="s">
        <v>333</v>
      </c>
      <c r="H70" s="77" t="s">
        <v>104</v>
      </c>
      <c r="I70" s="79"/>
      <c r="J70" s="77" t="s">
        <v>131</v>
      </c>
      <c r="K70" s="79" t="s">
        <v>87</v>
      </c>
      <c r="L70" s="77" t="s">
        <v>87</v>
      </c>
      <c r="M70" s="79"/>
      <c r="N70" s="77" t="s">
        <v>353</v>
      </c>
      <c r="O70" s="77" t="s">
        <v>370</v>
      </c>
      <c r="P70" s="79" t="s">
        <v>99</v>
      </c>
      <c r="Q70" s="79"/>
      <c r="R70" s="76">
        <v>810</v>
      </c>
      <c r="S70" s="77">
        <f>"458,0550"</f>
        <v>0</v>
      </c>
      <c r="T70" s="78"/>
    </row>
    <row r="71" spans="1:20" ht="14.25">
      <c r="A71" s="76" t="s">
        <v>1876</v>
      </c>
      <c r="B71" s="77" t="s">
        <v>1877</v>
      </c>
      <c r="C71" s="77" t="s">
        <v>1878</v>
      </c>
      <c r="D71" s="77">
        <f>"0,5632"</f>
        <v>0</v>
      </c>
      <c r="E71" s="78" t="s">
        <v>327</v>
      </c>
      <c r="F71" s="77" t="s">
        <v>1251</v>
      </c>
      <c r="G71" s="79" t="s">
        <v>282</v>
      </c>
      <c r="H71" s="79" t="s">
        <v>282</v>
      </c>
      <c r="I71" s="79"/>
      <c r="J71" s="77" t="s">
        <v>74</v>
      </c>
      <c r="K71" s="79" t="s">
        <v>78</v>
      </c>
      <c r="L71" s="79" t="s">
        <v>78</v>
      </c>
      <c r="M71" s="79"/>
      <c r="N71" s="77" t="s">
        <v>1622</v>
      </c>
      <c r="O71" s="79" t="s">
        <v>1879</v>
      </c>
      <c r="P71" s="79" t="s">
        <v>1879</v>
      </c>
      <c r="Q71" s="79"/>
      <c r="R71" s="76" t="s">
        <v>1880</v>
      </c>
      <c r="S71" s="77" t="s">
        <v>1881</v>
      </c>
      <c r="T71" s="78"/>
    </row>
    <row r="72" spans="1:20" ht="14.25">
      <c r="A72" s="76" t="s">
        <v>1882</v>
      </c>
      <c r="B72" s="77" t="s">
        <v>1883</v>
      </c>
      <c r="C72" s="77" t="s">
        <v>1884</v>
      </c>
      <c r="D72" s="77">
        <f>"0,5924"</f>
        <v>0</v>
      </c>
      <c r="E72" s="78" t="s">
        <v>53</v>
      </c>
      <c r="F72" s="77" t="s">
        <v>40</v>
      </c>
      <c r="G72" s="77" t="s">
        <v>41</v>
      </c>
      <c r="H72" s="77" t="s">
        <v>79</v>
      </c>
      <c r="I72" s="79"/>
      <c r="J72" s="77" t="s">
        <v>93</v>
      </c>
      <c r="K72" s="77" t="s">
        <v>240</v>
      </c>
      <c r="L72" s="77" t="s">
        <v>131</v>
      </c>
      <c r="M72" s="79"/>
      <c r="N72" s="77" t="s">
        <v>40</v>
      </c>
      <c r="O72" s="77" t="s">
        <v>337</v>
      </c>
      <c r="P72" s="79" t="s">
        <v>282</v>
      </c>
      <c r="Q72" s="79"/>
      <c r="R72" s="76">
        <v>715</v>
      </c>
      <c r="S72" s="77">
        <f>"423,5459"</f>
        <v>0</v>
      </c>
      <c r="T72" s="78"/>
    </row>
    <row r="73" spans="1:20" ht="14.25">
      <c r="A73" s="76" t="s">
        <v>1885</v>
      </c>
      <c r="B73" s="77" t="s">
        <v>1886</v>
      </c>
      <c r="C73" s="77" t="s">
        <v>1887</v>
      </c>
      <c r="D73" s="77">
        <f>"0,5761"</f>
        <v>0</v>
      </c>
      <c r="E73" s="78" t="s">
        <v>232</v>
      </c>
      <c r="F73" s="77" t="s">
        <v>78</v>
      </c>
      <c r="G73" s="77" t="s">
        <v>42</v>
      </c>
      <c r="H73" s="79" t="s">
        <v>79</v>
      </c>
      <c r="I73" s="79"/>
      <c r="J73" s="77" t="s">
        <v>240</v>
      </c>
      <c r="K73" s="79" t="s">
        <v>212</v>
      </c>
      <c r="L73" s="79" t="s">
        <v>212</v>
      </c>
      <c r="M73" s="79"/>
      <c r="N73" s="77" t="s">
        <v>42</v>
      </c>
      <c r="O73" s="77" t="s">
        <v>79</v>
      </c>
      <c r="P73" s="79" t="s">
        <v>1135</v>
      </c>
      <c r="Q73" s="79"/>
      <c r="R73" s="76" t="s">
        <v>1610</v>
      </c>
      <c r="S73" s="77" t="s">
        <v>1888</v>
      </c>
      <c r="T73" s="78"/>
    </row>
    <row r="74" spans="1:20" ht="14.25">
      <c r="A74" s="76" t="s">
        <v>1376</v>
      </c>
      <c r="B74" s="77" t="s">
        <v>1377</v>
      </c>
      <c r="C74" s="77" t="s">
        <v>1378</v>
      </c>
      <c r="D74" s="77">
        <f>"0,6153"</f>
        <v>0</v>
      </c>
      <c r="E74" s="78" t="s">
        <v>327</v>
      </c>
      <c r="F74" s="77" t="s">
        <v>240</v>
      </c>
      <c r="G74" s="79"/>
      <c r="H74" s="79"/>
      <c r="I74" s="79"/>
      <c r="J74" s="77" t="s">
        <v>774</v>
      </c>
      <c r="K74" s="79" t="s">
        <v>349</v>
      </c>
      <c r="L74" s="79"/>
      <c r="M74" s="79"/>
      <c r="N74" s="77" t="s">
        <v>240</v>
      </c>
      <c r="O74" s="79"/>
      <c r="P74" s="79"/>
      <c r="Q74" s="79"/>
      <c r="R74" s="76" t="s">
        <v>1889</v>
      </c>
      <c r="S74" s="77" t="s">
        <v>1890</v>
      </c>
      <c r="T74" s="78"/>
    </row>
    <row r="75" spans="1:20" ht="14.25">
      <c r="A75" s="76" t="s">
        <v>759</v>
      </c>
      <c r="B75" s="77" t="s">
        <v>760</v>
      </c>
      <c r="C75" s="77" t="s">
        <v>302</v>
      </c>
      <c r="D75" s="77">
        <f>"0,6612"</f>
        <v>0</v>
      </c>
      <c r="E75" s="78" t="s">
        <v>211</v>
      </c>
      <c r="F75" s="77" t="s">
        <v>47</v>
      </c>
      <c r="G75" s="79" t="s">
        <v>73</v>
      </c>
      <c r="H75" s="77" t="s">
        <v>73</v>
      </c>
      <c r="I75" s="79"/>
      <c r="J75" s="77" t="s">
        <v>626</v>
      </c>
      <c r="K75" s="77" t="s">
        <v>47</v>
      </c>
      <c r="L75" s="79" t="s">
        <v>224</v>
      </c>
      <c r="M75" s="79"/>
      <c r="N75" s="79" t="s">
        <v>88</v>
      </c>
      <c r="O75" s="77" t="s">
        <v>88</v>
      </c>
      <c r="P75" s="79" t="s">
        <v>219</v>
      </c>
      <c r="Q75" s="79"/>
      <c r="R75" s="76">
        <v>595</v>
      </c>
      <c r="S75" s="77">
        <f>"393,4411"</f>
        <v>0</v>
      </c>
      <c r="T75" s="78"/>
    </row>
    <row r="76" spans="1:20" ht="14.25">
      <c r="A76" s="76" t="s">
        <v>1109</v>
      </c>
      <c r="B76" s="77" t="s">
        <v>1110</v>
      </c>
      <c r="C76" s="77" t="s">
        <v>1111</v>
      </c>
      <c r="D76" s="77">
        <f>"0,8183"</f>
        <v>0</v>
      </c>
      <c r="E76" s="78" t="s">
        <v>536</v>
      </c>
      <c r="F76" s="77" t="s">
        <v>16</v>
      </c>
      <c r="G76" s="79" t="s">
        <v>17</v>
      </c>
      <c r="H76" s="77" t="s">
        <v>17</v>
      </c>
      <c r="I76" s="79"/>
      <c r="J76" s="77" t="s">
        <v>16</v>
      </c>
      <c r="K76" s="77" t="s">
        <v>17</v>
      </c>
      <c r="L76" s="79" t="s">
        <v>18</v>
      </c>
      <c r="M76" s="79"/>
      <c r="N76" s="77" t="s">
        <v>54</v>
      </c>
      <c r="O76" s="77" t="s">
        <v>46</v>
      </c>
      <c r="P76" s="77" t="s">
        <v>47</v>
      </c>
      <c r="Q76" s="79"/>
      <c r="R76" s="76">
        <v>400</v>
      </c>
      <c r="S76" s="77">
        <f>"327,3131"</f>
        <v>0</v>
      </c>
      <c r="T76" s="78"/>
    </row>
    <row r="77" spans="1:20" ht="14.25">
      <c r="A77" s="72" t="s">
        <v>325</v>
      </c>
      <c r="B77" s="73" t="s">
        <v>326</v>
      </c>
      <c r="C77" s="73" t="s">
        <v>1476</v>
      </c>
      <c r="D77" s="73">
        <f>"1,0544"</f>
        <v>0</v>
      </c>
      <c r="E77" s="74" t="s">
        <v>327</v>
      </c>
      <c r="F77" s="73" t="s">
        <v>526</v>
      </c>
      <c r="G77" s="75"/>
      <c r="H77" s="75"/>
      <c r="I77" s="75"/>
      <c r="J77" s="73" t="s">
        <v>328</v>
      </c>
      <c r="K77" s="75"/>
      <c r="L77" s="75"/>
      <c r="M77" s="75"/>
      <c r="N77" s="73" t="s">
        <v>30</v>
      </c>
      <c r="O77" s="75" t="s">
        <v>349</v>
      </c>
      <c r="P77" s="75"/>
      <c r="Q77" s="75"/>
      <c r="R77" s="72" t="s">
        <v>1453</v>
      </c>
      <c r="S77" s="73" t="s">
        <v>1891</v>
      </c>
      <c r="T77" s="74"/>
    </row>
    <row r="79" spans="1:19" ht="16.5">
      <c r="A79" s="67" t="s">
        <v>127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1:20" ht="14.25">
      <c r="A80" s="68" t="s">
        <v>1892</v>
      </c>
      <c r="B80" s="69" t="s">
        <v>1893</v>
      </c>
      <c r="C80" s="69" t="s">
        <v>866</v>
      </c>
      <c r="D80" s="69">
        <f>"0,5454"</f>
        <v>0</v>
      </c>
      <c r="E80" s="70" t="s">
        <v>462</v>
      </c>
      <c r="F80" s="71" t="s">
        <v>333</v>
      </c>
      <c r="G80" s="69" t="s">
        <v>333</v>
      </c>
      <c r="H80" s="69" t="s">
        <v>353</v>
      </c>
      <c r="I80" s="69" t="s">
        <v>370</v>
      </c>
      <c r="J80" s="69" t="s">
        <v>486</v>
      </c>
      <c r="K80" s="69" t="s">
        <v>46</v>
      </c>
      <c r="L80" s="69" t="s">
        <v>47</v>
      </c>
      <c r="M80" s="71"/>
      <c r="N80" s="69" t="s">
        <v>16</v>
      </c>
      <c r="O80" s="69" t="s">
        <v>1135</v>
      </c>
      <c r="P80" s="69" t="s">
        <v>353</v>
      </c>
      <c r="Q80" s="71"/>
      <c r="R80" s="68">
        <v>780</v>
      </c>
      <c r="S80" s="69">
        <f>"425,4120"</f>
        <v>0</v>
      </c>
      <c r="T80" s="70"/>
    </row>
    <row r="81" spans="1:20" ht="14.25">
      <c r="A81" s="76" t="s">
        <v>1894</v>
      </c>
      <c r="B81" s="77" t="s">
        <v>1895</v>
      </c>
      <c r="C81" s="77" t="s">
        <v>1309</v>
      </c>
      <c r="D81" s="77">
        <f>"0,5548"</f>
        <v>0</v>
      </c>
      <c r="E81" s="78" t="s">
        <v>15</v>
      </c>
      <c r="F81" s="77" t="s">
        <v>435</v>
      </c>
      <c r="G81" s="77" t="s">
        <v>474</v>
      </c>
      <c r="H81" s="77" t="s">
        <v>1896</v>
      </c>
      <c r="I81" s="79"/>
      <c r="J81" s="77" t="s">
        <v>88</v>
      </c>
      <c r="K81" s="77" t="s">
        <v>40</v>
      </c>
      <c r="L81" s="77" t="s">
        <v>294</v>
      </c>
      <c r="M81" s="79"/>
      <c r="N81" s="77" t="s">
        <v>472</v>
      </c>
      <c r="O81" s="77" t="s">
        <v>365</v>
      </c>
      <c r="P81" s="79" t="s">
        <v>474</v>
      </c>
      <c r="Q81" s="79"/>
      <c r="R81" s="76">
        <v>957.5</v>
      </c>
      <c r="S81" s="77">
        <f>"531,1731"</f>
        <v>0</v>
      </c>
      <c r="T81" s="78"/>
    </row>
    <row r="82" spans="1:20" ht="14.25">
      <c r="A82" s="76" t="s">
        <v>1897</v>
      </c>
      <c r="B82" s="77" t="s">
        <v>1898</v>
      </c>
      <c r="C82" s="77" t="s">
        <v>1899</v>
      </c>
      <c r="D82" s="77">
        <f>"0,5573"</f>
        <v>0</v>
      </c>
      <c r="E82" s="78" t="s">
        <v>1156</v>
      </c>
      <c r="F82" s="77" t="s">
        <v>41</v>
      </c>
      <c r="G82" s="77" t="s">
        <v>337</v>
      </c>
      <c r="H82" s="77" t="s">
        <v>79</v>
      </c>
      <c r="I82" s="79"/>
      <c r="J82" s="77" t="s">
        <v>47</v>
      </c>
      <c r="K82" s="77" t="s">
        <v>224</v>
      </c>
      <c r="L82" s="79" t="s">
        <v>212</v>
      </c>
      <c r="M82" s="79"/>
      <c r="N82" s="77" t="s">
        <v>79</v>
      </c>
      <c r="O82" s="77" t="s">
        <v>416</v>
      </c>
      <c r="P82" s="77" t="s">
        <v>110</v>
      </c>
      <c r="Q82" s="79"/>
      <c r="R82" s="76">
        <v>750</v>
      </c>
      <c r="S82" s="77">
        <f>"417,9375"</f>
        <v>0</v>
      </c>
      <c r="T82" s="78"/>
    </row>
    <row r="83" spans="1:20" ht="14.25">
      <c r="A83" s="76" t="s">
        <v>1900</v>
      </c>
      <c r="B83" s="77" t="s">
        <v>1901</v>
      </c>
      <c r="C83" s="77" t="s">
        <v>461</v>
      </c>
      <c r="D83" s="77">
        <f>"0,5494"</f>
        <v>0</v>
      </c>
      <c r="E83" s="78" t="s">
        <v>327</v>
      </c>
      <c r="F83" s="77" t="s">
        <v>78</v>
      </c>
      <c r="G83" s="79" t="s">
        <v>42</v>
      </c>
      <c r="H83" s="79" t="s">
        <v>42</v>
      </c>
      <c r="I83" s="79"/>
      <c r="J83" s="77" t="s">
        <v>240</v>
      </c>
      <c r="K83" s="79" t="s">
        <v>212</v>
      </c>
      <c r="L83" s="79" t="s">
        <v>349</v>
      </c>
      <c r="M83" s="79"/>
      <c r="N83" s="77" t="s">
        <v>120</v>
      </c>
      <c r="O83" s="79"/>
      <c r="P83" s="79"/>
      <c r="Q83" s="79"/>
      <c r="R83" s="76" t="s">
        <v>1902</v>
      </c>
      <c r="S83" s="77" t="s">
        <v>1903</v>
      </c>
      <c r="T83" s="78"/>
    </row>
    <row r="84" spans="1:20" ht="14.25">
      <c r="A84" s="76" t="s">
        <v>1136</v>
      </c>
      <c r="B84" s="77" t="s">
        <v>1137</v>
      </c>
      <c r="C84" s="77" t="s">
        <v>1669</v>
      </c>
      <c r="D84" s="77">
        <f>"0,6137"</f>
        <v>0</v>
      </c>
      <c r="E84" s="78" t="s">
        <v>15</v>
      </c>
      <c r="F84" s="77" t="s">
        <v>88</v>
      </c>
      <c r="G84" s="77" t="s">
        <v>316</v>
      </c>
      <c r="H84" s="79" t="s">
        <v>42</v>
      </c>
      <c r="I84" s="79"/>
      <c r="J84" s="77" t="s">
        <v>36</v>
      </c>
      <c r="K84" s="77" t="s">
        <v>54</v>
      </c>
      <c r="L84" s="77" t="s">
        <v>486</v>
      </c>
      <c r="M84" s="79"/>
      <c r="N84" s="77" t="s">
        <v>83</v>
      </c>
      <c r="O84" s="77" t="s">
        <v>42</v>
      </c>
      <c r="P84" s="77" t="s">
        <v>283</v>
      </c>
      <c r="Q84" s="79"/>
      <c r="R84" s="76">
        <v>670</v>
      </c>
      <c r="S84" s="77">
        <f>"411,1845"</f>
        <v>0</v>
      </c>
      <c r="T84" s="78"/>
    </row>
    <row r="85" spans="1:20" ht="14.25">
      <c r="A85" s="72" t="s">
        <v>1904</v>
      </c>
      <c r="B85" s="73" t="s">
        <v>1905</v>
      </c>
      <c r="C85" s="73" t="s">
        <v>1906</v>
      </c>
      <c r="D85" s="73">
        <f>"0,6316"</f>
        <v>0</v>
      </c>
      <c r="E85" s="74" t="s">
        <v>53</v>
      </c>
      <c r="F85" s="73" t="s">
        <v>54</v>
      </c>
      <c r="G85" s="73" t="s">
        <v>486</v>
      </c>
      <c r="H85" s="75" t="s">
        <v>47</v>
      </c>
      <c r="I85" s="75"/>
      <c r="J85" s="73" t="s">
        <v>46</v>
      </c>
      <c r="K85" s="75" t="s">
        <v>240</v>
      </c>
      <c r="L85" s="73" t="s">
        <v>240</v>
      </c>
      <c r="M85" s="75"/>
      <c r="N85" s="73" t="s">
        <v>46</v>
      </c>
      <c r="O85" s="75"/>
      <c r="P85" s="75"/>
      <c r="Q85" s="75"/>
      <c r="R85" s="72" t="s">
        <v>1475</v>
      </c>
      <c r="S85" s="73" t="s">
        <v>1907</v>
      </c>
      <c r="T85" s="74"/>
    </row>
    <row r="87" spans="1:19" ht="16.5">
      <c r="A87" s="67" t="s">
        <v>135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1:20" ht="14.25">
      <c r="A88" s="68" t="s">
        <v>1115</v>
      </c>
      <c r="B88" s="69" t="s">
        <v>1116</v>
      </c>
      <c r="C88" s="69" t="s">
        <v>1908</v>
      </c>
      <c r="D88" s="69">
        <f>"0,5450"</f>
        <v>0</v>
      </c>
      <c r="E88" s="70" t="s">
        <v>462</v>
      </c>
      <c r="F88" s="71" t="s">
        <v>333</v>
      </c>
      <c r="G88" s="71"/>
      <c r="H88" s="71"/>
      <c r="I88" s="71"/>
      <c r="J88" s="71" t="s">
        <v>486</v>
      </c>
      <c r="K88" s="71"/>
      <c r="L88" s="71"/>
      <c r="M88" s="71"/>
      <c r="N88" s="71"/>
      <c r="O88" s="71"/>
      <c r="P88" s="71"/>
      <c r="Q88" s="71"/>
      <c r="R88" s="68">
        <v>0</v>
      </c>
      <c r="S88" s="69">
        <f>"0,0000"</f>
        <v>0</v>
      </c>
      <c r="T88" s="70"/>
    </row>
    <row r="89" spans="1:20" ht="14.25">
      <c r="A89" s="76" t="s">
        <v>1909</v>
      </c>
      <c r="B89" s="77" t="s">
        <v>1910</v>
      </c>
      <c r="C89" s="77" t="s">
        <v>1911</v>
      </c>
      <c r="D89" s="77">
        <f>"0,5338"</f>
        <v>0</v>
      </c>
      <c r="E89" s="78" t="s">
        <v>53</v>
      </c>
      <c r="F89" s="79" t="s">
        <v>42</v>
      </c>
      <c r="G89" s="77" t="s">
        <v>435</v>
      </c>
      <c r="H89" s="79" t="s">
        <v>1896</v>
      </c>
      <c r="I89" s="79"/>
      <c r="J89" s="77" t="s">
        <v>83</v>
      </c>
      <c r="K89" s="79" t="s">
        <v>219</v>
      </c>
      <c r="L89" s="79" t="s">
        <v>349</v>
      </c>
      <c r="M89" s="79" t="s">
        <v>349</v>
      </c>
      <c r="N89" s="77" t="s">
        <v>283</v>
      </c>
      <c r="O89" s="77" t="s">
        <v>353</v>
      </c>
      <c r="P89" s="79"/>
      <c r="Q89" s="79"/>
      <c r="R89" s="76" t="s">
        <v>1912</v>
      </c>
      <c r="S89" s="77" t="s">
        <v>1913</v>
      </c>
      <c r="T89" s="78"/>
    </row>
    <row r="90" spans="1:20" ht="14.25">
      <c r="A90" s="76" t="s">
        <v>1153</v>
      </c>
      <c r="B90" s="77" t="s">
        <v>1154</v>
      </c>
      <c r="C90" s="77" t="s">
        <v>876</v>
      </c>
      <c r="D90" s="77">
        <f>"0,5406"</f>
        <v>0</v>
      </c>
      <c r="E90" s="78" t="s">
        <v>1156</v>
      </c>
      <c r="F90" s="79" t="s">
        <v>353</v>
      </c>
      <c r="G90" s="79" t="s">
        <v>353</v>
      </c>
      <c r="H90" s="77" t="s">
        <v>353</v>
      </c>
      <c r="I90" s="79"/>
      <c r="J90" s="77" t="s">
        <v>29</v>
      </c>
      <c r="K90" s="77" t="s">
        <v>62</v>
      </c>
      <c r="L90" s="77" t="s">
        <v>54</v>
      </c>
      <c r="M90" s="79"/>
      <c r="N90" s="77" t="s">
        <v>283</v>
      </c>
      <c r="O90" s="77" t="s">
        <v>353</v>
      </c>
      <c r="P90" s="77" t="s">
        <v>98</v>
      </c>
      <c r="Q90" s="79"/>
      <c r="R90" s="76">
        <v>760</v>
      </c>
      <c r="S90" s="77">
        <f>"410,8560"</f>
        <v>0</v>
      </c>
      <c r="T90" s="78"/>
    </row>
    <row r="91" spans="1:20" ht="14.25">
      <c r="A91" s="76" t="s">
        <v>1914</v>
      </c>
      <c r="B91" s="77" t="s">
        <v>1915</v>
      </c>
      <c r="C91" s="77" t="s">
        <v>1916</v>
      </c>
      <c r="D91" s="77">
        <f>"0,5346"</f>
        <v>0</v>
      </c>
      <c r="E91" s="78" t="s">
        <v>15</v>
      </c>
      <c r="F91" s="77" t="s">
        <v>42</v>
      </c>
      <c r="G91" s="77" t="s">
        <v>79</v>
      </c>
      <c r="H91" s="77" t="s">
        <v>416</v>
      </c>
      <c r="I91" s="79"/>
      <c r="J91" s="77" t="s">
        <v>93</v>
      </c>
      <c r="K91" s="77" t="s">
        <v>240</v>
      </c>
      <c r="L91" s="77" t="s">
        <v>131</v>
      </c>
      <c r="M91" s="79"/>
      <c r="N91" s="77" t="s">
        <v>83</v>
      </c>
      <c r="O91" s="77" t="s">
        <v>42</v>
      </c>
      <c r="P91" s="79" t="s">
        <v>68</v>
      </c>
      <c r="Q91" s="79"/>
      <c r="R91" s="76">
        <v>725</v>
      </c>
      <c r="S91" s="77">
        <f>"387,5995"</f>
        <v>0</v>
      </c>
      <c r="T91" s="78"/>
    </row>
    <row r="92" spans="1:20" ht="14.25">
      <c r="A92" s="76" t="s">
        <v>1914</v>
      </c>
      <c r="B92" s="77" t="s">
        <v>1917</v>
      </c>
      <c r="C92" s="77" t="s">
        <v>1916</v>
      </c>
      <c r="D92" s="77">
        <f>"0,5576"</f>
        <v>0</v>
      </c>
      <c r="E92" s="78" t="s">
        <v>15</v>
      </c>
      <c r="F92" s="77" t="s">
        <v>42</v>
      </c>
      <c r="G92" s="77" t="s">
        <v>79</v>
      </c>
      <c r="H92" s="77" t="s">
        <v>416</v>
      </c>
      <c r="I92" s="79"/>
      <c r="J92" s="77" t="s">
        <v>93</v>
      </c>
      <c r="K92" s="77" t="s">
        <v>240</v>
      </c>
      <c r="L92" s="77" t="s">
        <v>131</v>
      </c>
      <c r="M92" s="79"/>
      <c r="N92" s="77" t="s">
        <v>83</v>
      </c>
      <c r="O92" s="77" t="s">
        <v>42</v>
      </c>
      <c r="P92" s="79" t="s">
        <v>68</v>
      </c>
      <c r="Q92" s="79"/>
      <c r="R92" s="76">
        <v>725</v>
      </c>
      <c r="S92" s="77">
        <f>"404,2663"</f>
        <v>0</v>
      </c>
      <c r="T92" s="78"/>
    </row>
    <row r="93" spans="1:20" ht="14.25">
      <c r="A93" s="72" t="s">
        <v>1139</v>
      </c>
      <c r="B93" s="73" t="s">
        <v>1140</v>
      </c>
      <c r="C93" s="73" t="s">
        <v>1918</v>
      </c>
      <c r="D93" s="73">
        <f>"0,5813"</f>
        <v>0</v>
      </c>
      <c r="E93" s="74" t="s">
        <v>536</v>
      </c>
      <c r="F93" s="75" t="s">
        <v>87</v>
      </c>
      <c r="G93" s="73" t="s">
        <v>87</v>
      </c>
      <c r="H93" s="73" t="s">
        <v>40</v>
      </c>
      <c r="I93" s="75"/>
      <c r="J93" s="73" t="s">
        <v>486</v>
      </c>
      <c r="K93" s="73" t="s">
        <v>46</v>
      </c>
      <c r="L93" s="73" t="s">
        <v>93</v>
      </c>
      <c r="M93" s="75"/>
      <c r="N93" s="73" t="s">
        <v>88</v>
      </c>
      <c r="O93" s="73" t="s">
        <v>42</v>
      </c>
      <c r="P93" s="75" t="s">
        <v>337</v>
      </c>
      <c r="Q93" s="75"/>
      <c r="R93" s="72">
        <v>645</v>
      </c>
      <c r="S93" s="73">
        <f>"374,9189"</f>
        <v>0</v>
      </c>
      <c r="T93" s="74"/>
    </row>
    <row r="95" spans="1:19" ht="16.5">
      <c r="A95" s="67" t="s">
        <v>140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1:20" ht="14.25">
      <c r="A96" s="68" t="s">
        <v>1919</v>
      </c>
      <c r="B96" s="69" t="s">
        <v>1920</v>
      </c>
      <c r="C96" s="69" t="s">
        <v>1921</v>
      </c>
      <c r="D96" s="69">
        <f>"0,5233"</f>
        <v>0</v>
      </c>
      <c r="E96" s="70" t="s">
        <v>562</v>
      </c>
      <c r="F96" s="69" t="s">
        <v>298</v>
      </c>
      <c r="G96" s="69" t="s">
        <v>1666</v>
      </c>
      <c r="H96" s="69" t="s">
        <v>364</v>
      </c>
      <c r="I96" s="71"/>
      <c r="J96" s="69" t="s">
        <v>240</v>
      </c>
      <c r="K96" s="69" t="s">
        <v>131</v>
      </c>
      <c r="L96" s="69" t="s">
        <v>620</v>
      </c>
      <c r="M96" s="71"/>
      <c r="N96" s="69" t="s">
        <v>435</v>
      </c>
      <c r="O96" s="69" t="s">
        <v>474</v>
      </c>
      <c r="P96" s="71" t="s">
        <v>1710</v>
      </c>
      <c r="Q96" s="71"/>
      <c r="R96" s="68">
        <v>902.5</v>
      </c>
      <c r="S96" s="69">
        <f>"472,3008"</f>
        <v>0</v>
      </c>
      <c r="T96" s="70"/>
    </row>
    <row r="97" spans="1:20" ht="14.25">
      <c r="A97" s="72" t="s">
        <v>1922</v>
      </c>
      <c r="B97" s="73" t="s">
        <v>1923</v>
      </c>
      <c r="C97" s="73" t="s">
        <v>1924</v>
      </c>
      <c r="D97" s="73">
        <f>"0,5422"</f>
        <v>0</v>
      </c>
      <c r="E97" s="74" t="s">
        <v>623</v>
      </c>
      <c r="F97" s="73" t="s">
        <v>79</v>
      </c>
      <c r="G97" s="73" t="s">
        <v>104</v>
      </c>
      <c r="H97" s="73" t="s">
        <v>98</v>
      </c>
      <c r="I97" s="75"/>
      <c r="J97" s="73" t="s">
        <v>131</v>
      </c>
      <c r="K97" s="73" t="s">
        <v>87</v>
      </c>
      <c r="L97" s="73" t="s">
        <v>88</v>
      </c>
      <c r="M97" s="75"/>
      <c r="N97" s="73" t="s">
        <v>42</v>
      </c>
      <c r="O97" s="73" t="s">
        <v>283</v>
      </c>
      <c r="P97" s="73" t="s">
        <v>104</v>
      </c>
      <c r="Q97" s="75"/>
      <c r="R97" s="72">
        <v>810</v>
      </c>
      <c r="S97" s="73">
        <f>"439,2045"</f>
        <v>0</v>
      </c>
      <c r="T97" s="74"/>
    </row>
    <row r="99" ht="16.5">
      <c r="E99" s="80" t="s">
        <v>144</v>
      </c>
    </row>
    <row r="100" ht="16.5">
      <c r="E100" s="80" t="s">
        <v>145</v>
      </c>
    </row>
    <row r="101" ht="16.5">
      <c r="E101" s="80" t="s">
        <v>146</v>
      </c>
    </row>
    <row r="102" ht="14.25">
      <c r="E102" s="61" t="s">
        <v>147</v>
      </c>
    </row>
    <row r="103" ht="14.25">
      <c r="E103" s="61" t="s">
        <v>148</v>
      </c>
    </row>
    <row r="104" ht="14.25">
      <c r="E104" s="61" t="s">
        <v>149</v>
      </c>
    </row>
    <row r="108" spans="1:2" ht="18.75">
      <c r="A108" s="81" t="s">
        <v>150</v>
      </c>
      <c r="B108" s="82"/>
    </row>
    <row r="109" spans="1:2" ht="16.5">
      <c r="A109" s="83" t="s">
        <v>151</v>
      </c>
      <c r="B109" s="84"/>
    </row>
    <row r="110" spans="1:2" ht="15.75">
      <c r="A110" s="85" t="s">
        <v>152</v>
      </c>
      <c r="B110" s="86"/>
    </row>
    <row r="111" spans="1:5" ht="15.75">
      <c r="A111" s="87" t="s">
        <v>1</v>
      </c>
      <c r="B111" s="87" t="s">
        <v>153</v>
      </c>
      <c r="C111" s="87" t="s">
        <v>154</v>
      </c>
      <c r="D111" s="87" t="s">
        <v>7</v>
      </c>
      <c r="E111" s="87" t="s">
        <v>155</v>
      </c>
    </row>
    <row r="112" spans="1:5" ht="14.25">
      <c r="A112" s="88" t="s">
        <v>1770</v>
      </c>
      <c r="B112" s="60" t="s">
        <v>152</v>
      </c>
      <c r="C112" s="60" t="s">
        <v>372</v>
      </c>
      <c r="D112" s="60" t="s">
        <v>1383</v>
      </c>
      <c r="E112" s="59" t="s">
        <v>1925</v>
      </c>
    </row>
    <row r="113" spans="1:5" ht="14.25">
      <c r="A113" s="88" t="s">
        <v>1777</v>
      </c>
      <c r="B113" s="60" t="s">
        <v>152</v>
      </c>
      <c r="C113" s="60" t="s">
        <v>156</v>
      </c>
      <c r="D113" s="60" t="s">
        <v>1926</v>
      </c>
      <c r="E113" s="59" t="s">
        <v>1927</v>
      </c>
    </row>
    <row r="114" spans="1:5" ht="14.25">
      <c r="A114" s="88" t="s">
        <v>513</v>
      </c>
      <c r="B114" s="60" t="s">
        <v>152</v>
      </c>
      <c r="C114" s="60" t="s">
        <v>944</v>
      </c>
      <c r="D114" s="60" t="s">
        <v>1418</v>
      </c>
      <c r="E114" s="59" t="s">
        <v>1928</v>
      </c>
    </row>
    <row r="115" spans="1:5" ht="14.25">
      <c r="A115" s="88" t="s">
        <v>1780</v>
      </c>
      <c r="B115" s="60" t="s">
        <v>152</v>
      </c>
      <c r="C115" s="60" t="s">
        <v>156</v>
      </c>
      <c r="D115" s="60" t="s">
        <v>1255</v>
      </c>
      <c r="E115" s="59" t="s">
        <v>1929</v>
      </c>
    </row>
    <row r="117" spans="1:2" ht="15.75">
      <c r="A117" s="85" t="s">
        <v>160</v>
      </c>
      <c r="B117" s="86"/>
    </row>
    <row r="118" spans="1:5" ht="15.75">
      <c r="A118" s="87" t="s">
        <v>1</v>
      </c>
      <c r="B118" s="87" t="s">
        <v>153</v>
      </c>
      <c r="C118" s="87" t="s">
        <v>154</v>
      </c>
      <c r="D118" s="87" t="s">
        <v>7</v>
      </c>
      <c r="E118" s="87" t="s">
        <v>155</v>
      </c>
    </row>
    <row r="119" spans="1:5" ht="14.25">
      <c r="A119" s="88" t="s">
        <v>1773</v>
      </c>
      <c r="B119" s="60" t="s">
        <v>188</v>
      </c>
      <c r="C119" s="60" t="s">
        <v>158</v>
      </c>
      <c r="D119" s="60" t="s">
        <v>212</v>
      </c>
      <c r="E119" s="59" t="s">
        <v>1930</v>
      </c>
    </row>
    <row r="122" spans="1:2" ht="16.5">
      <c r="A122" s="83" t="s">
        <v>164</v>
      </c>
      <c r="B122" s="84"/>
    </row>
    <row r="123" spans="1:2" ht="15.75">
      <c r="A123" s="85" t="s">
        <v>375</v>
      </c>
      <c r="B123" s="86"/>
    </row>
    <row r="124" spans="1:5" ht="15.75">
      <c r="A124" s="87" t="s">
        <v>1</v>
      </c>
      <c r="B124" s="87" t="s">
        <v>153</v>
      </c>
      <c r="C124" s="87" t="s">
        <v>154</v>
      </c>
      <c r="D124" s="87" t="s">
        <v>7</v>
      </c>
      <c r="E124" s="87" t="s">
        <v>155</v>
      </c>
    </row>
    <row r="125" spans="1:5" ht="14.25">
      <c r="A125" s="88" t="s">
        <v>1892</v>
      </c>
      <c r="B125" s="60" t="s">
        <v>376</v>
      </c>
      <c r="C125" s="60" t="s">
        <v>169</v>
      </c>
      <c r="D125" s="60" t="s">
        <v>1726</v>
      </c>
      <c r="E125" s="59" t="s">
        <v>1931</v>
      </c>
    </row>
    <row r="126" spans="1:5" ht="14.25">
      <c r="A126" s="88" t="s">
        <v>744</v>
      </c>
      <c r="B126" s="60" t="s">
        <v>376</v>
      </c>
      <c r="C126" s="60" t="s">
        <v>167</v>
      </c>
      <c r="D126" s="60" t="s">
        <v>1932</v>
      </c>
      <c r="E126" s="59" t="s">
        <v>1933</v>
      </c>
    </row>
    <row r="128" spans="1:2" ht="15.75">
      <c r="A128" s="85" t="s">
        <v>165</v>
      </c>
      <c r="B128" s="86"/>
    </row>
    <row r="129" spans="1:5" ht="15.75">
      <c r="A129" s="87" t="s">
        <v>1</v>
      </c>
      <c r="B129" s="87" t="s">
        <v>153</v>
      </c>
      <c r="C129" s="87" t="s">
        <v>154</v>
      </c>
      <c r="D129" s="87" t="s">
        <v>7</v>
      </c>
      <c r="E129" s="87" t="s">
        <v>155</v>
      </c>
    </row>
    <row r="130" spans="1:5" ht="14.25">
      <c r="A130" s="88" t="s">
        <v>1046</v>
      </c>
      <c r="B130" s="60" t="s">
        <v>166</v>
      </c>
      <c r="C130" s="60" t="s">
        <v>181</v>
      </c>
      <c r="D130" s="60" t="s">
        <v>1934</v>
      </c>
      <c r="E130" s="59" t="s">
        <v>1935</v>
      </c>
    </row>
    <row r="131" spans="1:5" ht="14.25">
      <c r="A131" s="88" t="s">
        <v>1798</v>
      </c>
      <c r="B131" s="60" t="s">
        <v>166</v>
      </c>
      <c r="C131" s="60" t="s">
        <v>171</v>
      </c>
      <c r="D131" s="60" t="s">
        <v>1936</v>
      </c>
      <c r="E131" s="59" t="s">
        <v>1937</v>
      </c>
    </row>
    <row r="132" spans="1:5" ht="14.25">
      <c r="A132" s="88" t="s">
        <v>783</v>
      </c>
      <c r="B132" s="60" t="s">
        <v>166</v>
      </c>
      <c r="C132" s="60" t="s">
        <v>167</v>
      </c>
      <c r="D132" s="60" t="s">
        <v>1938</v>
      </c>
      <c r="E132" s="59" t="s">
        <v>1855</v>
      </c>
    </row>
    <row r="133" spans="1:5" ht="14.25">
      <c r="A133" s="88" t="s">
        <v>1801</v>
      </c>
      <c r="B133" s="60" t="s">
        <v>166</v>
      </c>
      <c r="C133" s="60" t="s">
        <v>171</v>
      </c>
      <c r="D133" s="60" t="s">
        <v>1939</v>
      </c>
      <c r="E133" s="59" t="s">
        <v>1940</v>
      </c>
    </row>
    <row r="134" spans="1:5" ht="14.25">
      <c r="A134" s="88" t="s">
        <v>1056</v>
      </c>
      <c r="B134" s="60" t="s">
        <v>166</v>
      </c>
      <c r="C134" s="60" t="s">
        <v>167</v>
      </c>
      <c r="D134" s="60" t="s">
        <v>1941</v>
      </c>
      <c r="E134" s="59" t="s">
        <v>1942</v>
      </c>
    </row>
    <row r="135" spans="1:5" ht="14.25">
      <c r="A135" s="88" t="s">
        <v>1785</v>
      </c>
      <c r="B135" s="60" t="s">
        <v>166</v>
      </c>
      <c r="C135" s="60" t="s">
        <v>372</v>
      </c>
      <c r="D135" s="60" t="s">
        <v>1708</v>
      </c>
      <c r="E135" s="59" t="s">
        <v>1943</v>
      </c>
    </row>
    <row r="137" spans="1:2" ht="15.75">
      <c r="A137" s="85" t="s">
        <v>152</v>
      </c>
      <c r="B137" s="86"/>
    </row>
    <row r="138" spans="1:5" ht="15.75">
      <c r="A138" s="87" t="s">
        <v>1</v>
      </c>
      <c r="B138" s="87" t="s">
        <v>153</v>
      </c>
      <c r="C138" s="87" t="s">
        <v>154</v>
      </c>
      <c r="D138" s="87" t="s">
        <v>7</v>
      </c>
      <c r="E138" s="87" t="s">
        <v>155</v>
      </c>
    </row>
    <row r="139" spans="1:5" ht="14.25">
      <c r="A139" s="88" t="s">
        <v>1803</v>
      </c>
      <c r="B139" s="60" t="s">
        <v>152</v>
      </c>
      <c r="C139" s="60" t="s">
        <v>171</v>
      </c>
      <c r="D139" s="89" t="s">
        <v>1944</v>
      </c>
      <c r="E139" s="59" t="s">
        <v>1807</v>
      </c>
    </row>
    <row r="140" spans="1:5" ht="14.25">
      <c r="A140" s="88" t="s">
        <v>1894</v>
      </c>
      <c r="B140" s="60" t="s">
        <v>152</v>
      </c>
      <c r="C140" s="60" t="s">
        <v>169</v>
      </c>
      <c r="D140" s="60" t="s">
        <v>1945</v>
      </c>
      <c r="E140" s="59" t="s">
        <v>1946</v>
      </c>
    </row>
    <row r="141" spans="1:5" ht="14.25">
      <c r="A141" s="88" t="s">
        <v>1824</v>
      </c>
      <c r="B141" s="60" t="s">
        <v>152</v>
      </c>
      <c r="C141" s="60" t="s">
        <v>181</v>
      </c>
      <c r="D141" s="60" t="s">
        <v>1947</v>
      </c>
      <c r="E141" s="59" t="s">
        <v>1948</v>
      </c>
    </row>
    <row r="142" spans="1:5" ht="14.25">
      <c r="A142" s="88" t="s">
        <v>1857</v>
      </c>
      <c r="B142" s="60" t="s">
        <v>152</v>
      </c>
      <c r="C142" s="60" t="s">
        <v>167</v>
      </c>
      <c r="D142" s="60" t="s">
        <v>1523</v>
      </c>
      <c r="E142" s="59" t="s">
        <v>1949</v>
      </c>
    </row>
    <row r="143" spans="1:5" ht="14.25">
      <c r="A143" s="88" t="s">
        <v>1873</v>
      </c>
      <c r="B143" s="60" t="s">
        <v>152</v>
      </c>
      <c r="C143" s="60" t="s">
        <v>173</v>
      </c>
      <c r="D143" s="60" t="s">
        <v>1950</v>
      </c>
      <c r="E143" s="59" t="s">
        <v>1951</v>
      </c>
    </row>
    <row r="144" spans="1:5" ht="14.25">
      <c r="A144" s="88" t="s">
        <v>1919</v>
      </c>
      <c r="B144" s="60" t="s">
        <v>152</v>
      </c>
      <c r="C144" s="60" t="s">
        <v>194</v>
      </c>
      <c r="D144" s="60" t="s">
        <v>1952</v>
      </c>
      <c r="E144" s="59" t="s">
        <v>1953</v>
      </c>
    </row>
    <row r="145" spans="1:5" ht="14.25">
      <c r="A145" s="88" t="s">
        <v>1069</v>
      </c>
      <c r="B145" s="60" t="s">
        <v>152</v>
      </c>
      <c r="C145" s="60" t="s">
        <v>167</v>
      </c>
      <c r="D145" s="60" t="s">
        <v>1731</v>
      </c>
      <c r="E145" s="59" t="s">
        <v>1954</v>
      </c>
    </row>
    <row r="146" spans="1:5" ht="14.25">
      <c r="A146" s="88" t="s">
        <v>75</v>
      </c>
      <c r="B146" s="60" t="s">
        <v>152</v>
      </c>
      <c r="C146" s="60" t="s">
        <v>167</v>
      </c>
      <c r="D146" s="60" t="s">
        <v>1731</v>
      </c>
      <c r="E146" s="59" t="s">
        <v>1955</v>
      </c>
    </row>
    <row r="147" spans="1:5" ht="14.25">
      <c r="A147" s="88" t="s">
        <v>1095</v>
      </c>
      <c r="B147" s="60" t="s">
        <v>152</v>
      </c>
      <c r="C147" s="60" t="s">
        <v>173</v>
      </c>
      <c r="D147" s="60" t="s">
        <v>1956</v>
      </c>
      <c r="E147" s="59" t="s">
        <v>1957</v>
      </c>
    </row>
    <row r="148" spans="1:5" ht="14.25">
      <c r="A148" s="88" t="s">
        <v>1863</v>
      </c>
      <c r="B148" s="60" t="s">
        <v>152</v>
      </c>
      <c r="C148" s="60" t="s">
        <v>167</v>
      </c>
      <c r="D148" s="60" t="s">
        <v>1424</v>
      </c>
      <c r="E148" s="59" t="s">
        <v>1958</v>
      </c>
    </row>
    <row r="149" spans="1:5" ht="14.25">
      <c r="A149" s="88" t="s">
        <v>1865</v>
      </c>
      <c r="B149" s="60" t="s">
        <v>152</v>
      </c>
      <c r="C149" s="60" t="s">
        <v>167</v>
      </c>
      <c r="D149" s="60" t="s">
        <v>1934</v>
      </c>
      <c r="E149" s="59" t="s">
        <v>1959</v>
      </c>
    </row>
    <row r="150" spans="1:5" ht="14.25">
      <c r="A150" s="88" t="s">
        <v>1897</v>
      </c>
      <c r="B150" s="60" t="s">
        <v>152</v>
      </c>
      <c r="C150" s="60" t="s">
        <v>169</v>
      </c>
      <c r="D150" s="60" t="s">
        <v>1424</v>
      </c>
      <c r="E150" s="59" t="s">
        <v>1960</v>
      </c>
    </row>
    <row r="151" spans="1:5" ht="14.25">
      <c r="A151" s="88" t="s">
        <v>1153</v>
      </c>
      <c r="B151" s="60" t="s">
        <v>152</v>
      </c>
      <c r="C151" s="60" t="s">
        <v>175</v>
      </c>
      <c r="D151" s="60" t="s">
        <v>1526</v>
      </c>
      <c r="E151" s="59" t="s">
        <v>1961</v>
      </c>
    </row>
    <row r="152" spans="1:5" ht="14.25">
      <c r="A152" s="88" t="s">
        <v>1868</v>
      </c>
      <c r="B152" s="60" t="s">
        <v>152</v>
      </c>
      <c r="C152" s="60" t="s">
        <v>167</v>
      </c>
      <c r="D152" s="60" t="s">
        <v>1733</v>
      </c>
      <c r="E152" s="59" t="s">
        <v>1962</v>
      </c>
    </row>
    <row r="153" spans="1:5" ht="14.25">
      <c r="A153" s="88" t="s">
        <v>1808</v>
      </c>
      <c r="B153" s="60" t="s">
        <v>152</v>
      </c>
      <c r="C153" s="60" t="s">
        <v>171</v>
      </c>
      <c r="D153" s="60" t="s">
        <v>1963</v>
      </c>
      <c r="E153" s="59" t="s">
        <v>1964</v>
      </c>
    </row>
    <row r="154" spans="1:5" ht="14.25">
      <c r="A154" s="88" t="s">
        <v>1914</v>
      </c>
      <c r="B154" s="60" t="s">
        <v>152</v>
      </c>
      <c r="C154" s="60" t="s">
        <v>175</v>
      </c>
      <c r="D154" s="60" t="s">
        <v>1934</v>
      </c>
      <c r="E154" s="59" t="s">
        <v>1965</v>
      </c>
    </row>
    <row r="155" spans="1:5" ht="14.25">
      <c r="A155" s="88" t="s">
        <v>1811</v>
      </c>
      <c r="B155" s="60" t="s">
        <v>152</v>
      </c>
      <c r="C155" s="60" t="s">
        <v>171</v>
      </c>
      <c r="D155" s="60" t="s">
        <v>1966</v>
      </c>
      <c r="E155" s="59" t="s">
        <v>1967</v>
      </c>
    </row>
    <row r="156" spans="1:5" ht="14.25">
      <c r="A156" s="88" t="s">
        <v>1838</v>
      </c>
      <c r="B156" s="60" t="s">
        <v>152</v>
      </c>
      <c r="C156" s="60" t="s">
        <v>181</v>
      </c>
      <c r="D156" s="60" t="s">
        <v>1968</v>
      </c>
      <c r="E156" s="59" t="s">
        <v>1969</v>
      </c>
    </row>
    <row r="157" spans="1:5" ht="14.25">
      <c r="A157" s="88" t="s">
        <v>1223</v>
      </c>
      <c r="B157" s="60" t="s">
        <v>152</v>
      </c>
      <c r="C157" s="60" t="s">
        <v>171</v>
      </c>
      <c r="D157" s="60" t="s">
        <v>1936</v>
      </c>
      <c r="E157" s="59" t="s">
        <v>1970</v>
      </c>
    </row>
    <row r="158" spans="1:5" ht="14.25">
      <c r="A158" s="88" t="s">
        <v>1828</v>
      </c>
      <c r="B158" s="60" t="s">
        <v>152</v>
      </c>
      <c r="C158" s="60" t="s">
        <v>181</v>
      </c>
      <c r="D158" s="60" t="s">
        <v>1966</v>
      </c>
      <c r="E158" s="59" t="s">
        <v>1971</v>
      </c>
    </row>
    <row r="159" spans="1:5" ht="14.25">
      <c r="A159" s="88" t="s">
        <v>1909</v>
      </c>
      <c r="B159" s="60" t="s">
        <v>152</v>
      </c>
      <c r="C159" s="60" t="s">
        <v>175</v>
      </c>
      <c r="D159" s="60" t="s">
        <v>1972</v>
      </c>
      <c r="E159" s="59" t="s">
        <v>1973</v>
      </c>
    </row>
    <row r="160" spans="1:5" ht="14.25">
      <c r="A160" s="88" t="s">
        <v>621</v>
      </c>
      <c r="B160" s="60" t="s">
        <v>152</v>
      </c>
      <c r="C160" s="60" t="s">
        <v>156</v>
      </c>
      <c r="D160" s="60" t="s">
        <v>1974</v>
      </c>
      <c r="E160" s="59" t="s">
        <v>1975</v>
      </c>
    </row>
    <row r="161" spans="1:5" ht="14.25">
      <c r="A161" s="88" t="s">
        <v>1833</v>
      </c>
      <c r="B161" s="60" t="s">
        <v>152</v>
      </c>
      <c r="C161" s="60" t="s">
        <v>181</v>
      </c>
      <c r="D161" s="60" t="s">
        <v>1976</v>
      </c>
      <c r="E161" s="59" t="s">
        <v>1977</v>
      </c>
    </row>
    <row r="162" spans="1:5" ht="14.25">
      <c r="A162" s="88" t="s">
        <v>629</v>
      </c>
      <c r="B162" s="60" t="s">
        <v>152</v>
      </c>
      <c r="C162" s="60" t="s">
        <v>156</v>
      </c>
      <c r="D162" s="60" t="s">
        <v>464</v>
      </c>
      <c r="E162" s="59" t="s">
        <v>1978</v>
      </c>
    </row>
    <row r="164" spans="1:2" ht="15.75">
      <c r="A164" s="85" t="s">
        <v>160</v>
      </c>
      <c r="B164" s="86"/>
    </row>
    <row r="165" spans="1:5" ht="15.75">
      <c r="A165" s="87" t="s">
        <v>1</v>
      </c>
      <c r="B165" s="87" t="s">
        <v>153</v>
      </c>
      <c r="C165" s="87" t="s">
        <v>154</v>
      </c>
      <c r="D165" s="87" t="s">
        <v>7</v>
      </c>
      <c r="E165" s="87" t="s">
        <v>155</v>
      </c>
    </row>
    <row r="166" spans="1:5" ht="14.25">
      <c r="A166" s="88" t="s">
        <v>1816</v>
      </c>
      <c r="B166" s="60" t="s">
        <v>192</v>
      </c>
      <c r="C166" s="60" t="s">
        <v>171</v>
      </c>
      <c r="D166" s="60" t="s">
        <v>1979</v>
      </c>
      <c r="E166" s="59" t="s">
        <v>1980</v>
      </c>
    </row>
    <row r="167" spans="1:5" ht="14.25">
      <c r="A167" s="88" t="s">
        <v>1922</v>
      </c>
      <c r="B167" s="60" t="s">
        <v>399</v>
      </c>
      <c r="C167" s="60" t="s">
        <v>194</v>
      </c>
      <c r="D167" s="60" t="s">
        <v>1956</v>
      </c>
      <c r="E167" s="59" t="s">
        <v>1981</v>
      </c>
    </row>
    <row r="168" spans="1:5" ht="14.25">
      <c r="A168" s="88" t="s">
        <v>1882</v>
      </c>
      <c r="B168" s="60" t="s">
        <v>399</v>
      </c>
      <c r="C168" s="60" t="s">
        <v>173</v>
      </c>
      <c r="D168" s="60" t="s">
        <v>1982</v>
      </c>
      <c r="E168" s="59" t="s">
        <v>1983</v>
      </c>
    </row>
    <row r="169" spans="1:5" ht="14.25">
      <c r="A169" s="88" t="s">
        <v>1136</v>
      </c>
      <c r="B169" s="60" t="s">
        <v>188</v>
      </c>
      <c r="C169" s="60" t="s">
        <v>169</v>
      </c>
      <c r="D169" s="60" t="s">
        <v>1541</v>
      </c>
      <c r="E169" s="59" t="s">
        <v>1984</v>
      </c>
    </row>
    <row r="170" spans="1:5" ht="14.25">
      <c r="A170" s="88" t="s">
        <v>1914</v>
      </c>
      <c r="B170" s="60" t="s">
        <v>399</v>
      </c>
      <c r="C170" s="60" t="s">
        <v>175</v>
      </c>
      <c r="D170" s="60" t="s">
        <v>1934</v>
      </c>
      <c r="E170" s="59" t="s">
        <v>1985</v>
      </c>
    </row>
    <row r="171" spans="1:5" ht="14.25">
      <c r="A171" s="88" t="s">
        <v>759</v>
      </c>
      <c r="B171" s="60" t="s">
        <v>161</v>
      </c>
      <c r="C171" s="60" t="s">
        <v>173</v>
      </c>
      <c r="D171" s="60" t="s">
        <v>1986</v>
      </c>
      <c r="E171" s="59" t="s">
        <v>1987</v>
      </c>
    </row>
    <row r="172" spans="1:5" ht="14.25">
      <c r="A172" s="88" t="s">
        <v>1796</v>
      </c>
      <c r="B172" s="60" t="s">
        <v>399</v>
      </c>
      <c r="C172" s="60" t="s">
        <v>156</v>
      </c>
      <c r="D172" s="60" t="s">
        <v>1797</v>
      </c>
      <c r="E172" s="59" t="s">
        <v>1988</v>
      </c>
    </row>
    <row r="173" spans="1:5" ht="14.25">
      <c r="A173" s="88" t="s">
        <v>1139</v>
      </c>
      <c r="B173" s="60" t="s">
        <v>188</v>
      </c>
      <c r="C173" s="60" t="s">
        <v>175</v>
      </c>
      <c r="D173" s="60" t="s">
        <v>1989</v>
      </c>
      <c r="E173" s="59" t="s">
        <v>1990</v>
      </c>
    </row>
    <row r="174" spans="1:5" ht="14.25">
      <c r="A174" s="88" t="s">
        <v>1871</v>
      </c>
      <c r="B174" s="60" t="s">
        <v>399</v>
      </c>
      <c r="C174" s="60" t="s">
        <v>167</v>
      </c>
      <c r="D174" s="60" t="s">
        <v>1705</v>
      </c>
      <c r="E174" s="59" t="s">
        <v>1991</v>
      </c>
    </row>
    <row r="175" spans="1:5" ht="14.25">
      <c r="A175" s="88" t="s">
        <v>44</v>
      </c>
      <c r="B175" s="60" t="s">
        <v>161</v>
      </c>
      <c r="C175" s="60" t="s">
        <v>156</v>
      </c>
      <c r="D175" s="60" t="s">
        <v>1395</v>
      </c>
      <c r="E175" s="59" t="s">
        <v>1992</v>
      </c>
    </row>
    <row r="176" spans="1:5" ht="14.25">
      <c r="A176" s="88" t="s">
        <v>1367</v>
      </c>
      <c r="B176" s="60" t="s">
        <v>161</v>
      </c>
      <c r="C176" s="60" t="s">
        <v>167</v>
      </c>
      <c r="D176" s="60" t="s">
        <v>1519</v>
      </c>
      <c r="E176" s="59" t="s">
        <v>1993</v>
      </c>
    </row>
    <row r="177" spans="1:5" ht="14.25">
      <c r="A177" s="88" t="s">
        <v>1843</v>
      </c>
      <c r="B177" s="60" t="s">
        <v>399</v>
      </c>
      <c r="C177" s="60" t="s">
        <v>181</v>
      </c>
      <c r="D177" s="60" t="s">
        <v>1749</v>
      </c>
      <c r="E177" s="59" t="s">
        <v>1994</v>
      </c>
    </row>
    <row r="178" spans="1:5" ht="14.25">
      <c r="A178" s="88" t="s">
        <v>1820</v>
      </c>
      <c r="B178" s="60" t="s">
        <v>186</v>
      </c>
      <c r="C178" s="60" t="s">
        <v>171</v>
      </c>
      <c r="D178" s="60" t="s">
        <v>472</v>
      </c>
      <c r="E178" s="59" t="s">
        <v>1995</v>
      </c>
    </row>
    <row r="179" spans="1:5" ht="14.25">
      <c r="A179" s="88" t="s">
        <v>1109</v>
      </c>
      <c r="B179" s="60" t="s">
        <v>192</v>
      </c>
      <c r="C179" s="60" t="s">
        <v>173</v>
      </c>
      <c r="D179" s="60" t="s">
        <v>1256</v>
      </c>
      <c r="E179" s="59" t="s">
        <v>1996</v>
      </c>
    </row>
    <row r="180" spans="1:5" ht="14.25">
      <c r="A180" s="88" t="s">
        <v>1885</v>
      </c>
      <c r="B180" s="60" t="s">
        <v>399</v>
      </c>
      <c r="C180" s="60" t="s">
        <v>173</v>
      </c>
      <c r="D180" s="60" t="s">
        <v>1756</v>
      </c>
      <c r="E180" s="59" t="s">
        <v>1997</v>
      </c>
    </row>
    <row r="181" spans="1:5" ht="14.25">
      <c r="A181" s="88" t="s">
        <v>1847</v>
      </c>
      <c r="B181" s="60" t="s">
        <v>188</v>
      </c>
      <c r="C181" s="60" t="s">
        <v>181</v>
      </c>
      <c r="D181" s="60" t="s">
        <v>435</v>
      </c>
      <c r="E181" s="59" t="s">
        <v>1998</v>
      </c>
    </row>
    <row r="182" spans="1:5" ht="14.25">
      <c r="A182" s="88" t="s">
        <v>1904</v>
      </c>
      <c r="B182" s="60" t="s">
        <v>161</v>
      </c>
      <c r="C182" s="60" t="s">
        <v>169</v>
      </c>
      <c r="D182" s="60" t="s">
        <v>364</v>
      </c>
      <c r="E182" s="59" t="s">
        <v>1999</v>
      </c>
    </row>
  </sheetData>
  <sheetProtection selectLockedCells="1" selectUnlockedCells="1"/>
  <mergeCells count="26">
    <mergeCell ref="A1:T2"/>
    <mergeCell ref="A3:A4"/>
    <mergeCell ref="B3:B4"/>
    <mergeCell ref="C3:C4"/>
    <mergeCell ref="D3:D4"/>
    <mergeCell ref="E3:E4"/>
    <mergeCell ref="F3:I3"/>
    <mergeCell ref="J3:M3"/>
    <mergeCell ref="N3:Q3"/>
    <mergeCell ref="R3:R4"/>
    <mergeCell ref="S3:S4"/>
    <mergeCell ref="T3:T4"/>
    <mergeCell ref="A5:S5"/>
    <mergeCell ref="A8:S8"/>
    <mergeCell ref="A11:S11"/>
    <mergeCell ref="A14:S14"/>
    <mergeCell ref="A18:S18"/>
    <mergeCell ref="A21:S21"/>
    <mergeCell ref="A24:S24"/>
    <mergeCell ref="A31:S31"/>
    <mergeCell ref="A42:S42"/>
    <mergeCell ref="A54:S54"/>
    <mergeCell ref="A68:S68"/>
    <mergeCell ref="A79:S79"/>
    <mergeCell ref="A87:S87"/>
    <mergeCell ref="A95:S95"/>
  </mergeCells>
  <printOptions/>
  <pageMargins left="0.19027777777777777" right="0.4701388888888889" top="0.45" bottom="0.49027777777777776" header="0.5118055555555555" footer="0.5118055555555555"/>
  <pageSetup fitToHeight="100" fitToWidth="1"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I28" sqref="I28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4.50390625" style="1" customWidth="1"/>
    <col min="7" max="7" width="7.375" style="1" customWidth="1"/>
    <col min="8" max="8" width="2.125" style="1" customWidth="1"/>
    <col min="9" max="9" width="4.50390625" style="1" customWidth="1"/>
    <col min="10" max="10" width="6.375" style="37" customWidth="1"/>
    <col min="11" max="11" width="9.50390625" style="1" customWidth="1"/>
    <col min="12" max="12" width="7.125" style="1" customWidth="1"/>
  </cols>
  <sheetData>
    <row r="1" spans="1:12" s="4" customFormat="1" ht="15" customHeight="1">
      <c r="A1" s="3" t="s">
        <v>2000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5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2001</v>
      </c>
      <c r="C3" s="6" t="s">
        <v>3</v>
      </c>
      <c r="D3" s="7" t="s">
        <v>4</v>
      </c>
      <c r="E3" s="7" t="s">
        <v>5</v>
      </c>
      <c r="F3" s="90" t="s">
        <v>6</v>
      </c>
      <c r="G3" s="90"/>
      <c r="H3" s="90"/>
      <c r="I3" s="90"/>
      <c r="J3" s="7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3" t="s">
        <v>2002</v>
      </c>
      <c r="G4" s="13" t="s">
        <v>2003</v>
      </c>
      <c r="H4" s="13">
        <v>3</v>
      </c>
      <c r="I4" s="14" t="s">
        <v>10</v>
      </c>
      <c r="J4" s="7"/>
      <c r="K4" s="7"/>
      <c r="L4" s="10"/>
    </row>
    <row r="5" spans="1:11" ht="16.5">
      <c r="A5" s="15" t="s">
        <v>583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16" t="s">
        <v>2004</v>
      </c>
      <c r="B6" s="16" t="s">
        <v>2005</v>
      </c>
      <c r="C6" s="16" t="s">
        <v>2006</v>
      </c>
      <c r="D6" s="16">
        <f>"1,0893"</f>
        <v>0</v>
      </c>
      <c r="E6" s="16" t="s">
        <v>15</v>
      </c>
      <c r="F6" s="16" t="s">
        <v>2007</v>
      </c>
      <c r="G6" s="16" t="s">
        <v>2008</v>
      </c>
      <c r="H6" s="18"/>
      <c r="I6" s="18"/>
      <c r="J6" s="42">
        <v>825</v>
      </c>
      <c r="K6" s="16">
        <f>"898,6725"</f>
        <v>0</v>
      </c>
      <c r="L6" s="16"/>
    </row>
    <row r="7" spans="1:12" ht="14.25">
      <c r="A7" s="20" t="s">
        <v>2009</v>
      </c>
      <c r="B7" s="20" t="s">
        <v>2010</v>
      </c>
      <c r="C7" s="20" t="s">
        <v>2011</v>
      </c>
      <c r="D7" s="20">
        <f>"1,0926"</f>
        <v>0</v>
      </c>
      <c r="E7" s="20" t="s">
        <v>15</v>
      </c>
      <c r="F7" s="20" t="s">
        <v>2007</v>
      </c>
      <c r="G7" s="20" t="s">
        <v>2012</v>
      </c>
      <c r="H7" s="21"/>
      <c r="I7" s="21"/>
      <c r="J7" s="44">
        <v>577.5</v>
      </c>
      <c r="K7" s="20">
        <f>"630,9765"</f>
        <v>0</v>
      </c>
      <c r="L7" s="20"/>
    </row>
    <row r="9" spans="1:11" ht="16.5">
      <c r="A9" s="23" t="s">
        <v>11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2" ht="14.25">
      <c r="A10" s="27" t="s">
        <v>997</v>
      </c>
      <c r="B10" s="27" t="s">
        <v>998</v>
      </c>
      <c r="C10" s="27" t="s">
        <v>999</v>
      </c>
      <c r="D10" s="27">
        <f>"0,9772"</f>
        <v>0</v>
      </c>
      <c r="E10" s="27" t="s">
        <v>15</v>
      </c>
      <c r="F10" s="27" t="s">
        <v>2013</v>
      </c>
      <c r="G10" s="27" t="s">
        <v>2014</v>
      </c>
      <c r="H10" s="28"/>
      <c r="I10" s="28"/>
      <c r="J10" s="29" t="s">
        <v>844</v>
      </c>
      <c r="K10" s="27" t="s">
        <v>2015</v>
      </c>
      <c r="L10" s="27"/>
    </row>
    <row r="12" spans="1:11" ht="16.5">
      <c r="A12" s="23" t="s">
        <v>49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2" ht="14.25">
      <c r="A13" s="27" t="s">
        <v>569</v>
      </c>
      <c r="B13" s="27" t="s">
        <v>570</v>
      </c>
      <c r="C13" s="27" t="s">
        <v>571</v>
      </c>
      <c r="D13" s="27">
        <f>"0,8062"</f>
        <v>0</v>
      </c>
      <c r="E13" s="27" t="s">
        <v>15</v>
      </c>
      <c r="F13" s="27" t="s">
        <v>581</v>
      </c>
      <c r="G13" s="27" t="s">
        <v>2016</v>
      </c>
      <c r="H13" s="28"/>
      <c r="I13" s="28"/>
      <c r="J13" s="41">
        <v>1920</v>
      </c>
      <c r="K13" s="27">
        <f>"1548,0000"</f>
        <v>0</v>
      </c>
      <c r="L13" s="27"/>
    </row>
    <row r="15" spans="1:11" ht="16.5">
      <c r="A15" s="23" t="s">
        <v>583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2" ht="14.25">
      <c r="A16" s="27" t="s">
        <v>2017</v>
      </c>
      <c r="B16" s="27" t="s">
        <v>2018</v>
      </c>
      <c r="C16" s="27" t="s">
        <v>2019</v>
      </c>
      <c r="D16" s="27">
        <f>"0,9275"</f>
        <v>0</v>
      </c>
      <c r="E16" s="27" t="s">
        <v>15</v>
      </c>
      <c r="F16" s="27" t="s">
        <v>2007</v>
      </c>
      <c r="G16" s="27" t="s">
        <v>2020</v>
      </c>
      <c r="H16" s="28"/>
      <c r="I16" s="28"/>
      <c r="J16" s="41">
        <v>1567.5</v>
      </c>
      <c r="K16" s="27">
        <f>"1453,8563"</f>
        <v>0</v>
      </c>
      <c r="L16" s="27"/>
    </row>
    <row r="18" spans="1:11" ht="16.5">
      <c r="A18" s="23" t="s">
        <v>202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2" ht="14.25">
      <c r="A19" s="27" t="s">
        <v>520</v>
      </c>
      <c r="B19" s="27" t="s">
        <v>521</v>
      </c>
      <c r="C19" s="27" t="s">
        <v>522</v>
      </c>
      <c r="D19" s="27">
        <f>"0,9703"</f>
        <v>0</v>
      </c>
      <c r="E19" s="27" t="s">
        <v>15</v>
      </c>
      <c r="F19" s="27" t="s">
        <v>2008</v>
      </c>
      <c r="G19" s="27" t="s">
        <v>594</v>
      </c>
      <c r="H19" s="28"/>
      <c r="I19" s="28"/>
      <c r="J19" s="41">
        <v>1500</v>
      </c>
      <c r="K19" s="27">
        <f>"1455,4053"</f>
        <v>0</v>
      </c>
      <c r="L19" s="27"/>
    </row>
    <row r="21" ht="16.5">
      <c r="E21" s="30" t="s">
        <v>144</v>
      </c>
    </row>
    <row r="22" ht="16.5">
      <c r="E22" s="30" t="s">
        <v>145</v>
      </c>
    </row>
    <row r="23" ht="16.5">
      <c r="E23" s="30" t="s">
        <v>146</v>
      </c>
    </row>
    <row r="24" ht="14.25">
      <c r="E24" s="1" t="s">
        <v>147</v>
      </c>
    </row>
    <row r="25" ht="14.25">
      <c r="E25" s="1" t="s">
        <v>148</v>
      </c>
    </row>
    <row r="26" ht="14.25">
      <c r="E26" s="1" t="s">
        <v>149</v>
      </c>
    </row>
    <row r="28" spans="1:2" ht="18.75">
      <c r="A28" s="31" t="s">
        <v>150</v>
      </c>
      <c r="B28" s="31"/>
    </row>
    <row r="29" spans="1:2" ht="16.5">
      <c r="A29" s="32" t="s">
        <v>151</v>
      </c>
      <c r="B29" s="32"/>
    </row>
    <row r="30" spans="1:2" ht="15.75">
      <c r="A30" s="33" t="s">
        <v>152</v>
      </c>
      <c r="B30" s="34"/>
    </row>
    <row r="31" spans="1:5" ht="15.75">
      <c r="A31" s="35" t="s">
        <v>1</v>
      </c>
      <c r="B31" s="35" t="s">
        <v>153</v>
      </c>
      <c r="C31" s="35" t="s">
        <v>154</v>
      </c>
      <c r="D31" s="35" t="s">
        <v>7</v>
      </c>
      <c r="E31" s="35" t="s">
        <v>155</v>
      </c>
    </row>
    <row r="32" spans="1:5" ht="15.75">
      <c r="A32" s="91" t="s">
        <v>997</v>
      </c>
      <c r="B32" s="92" t="s">
        <v>376</v>
      </c>
      <c r="C32" s="92" t="s">
        <v>944</v>
      </c>
      <c r="D32" s="29" t="s">
        <v>844</v>
      </c>
      <c r="E32" s="27" t="s">
        <v>2015</v>
      </c>
    </row>
    <row r="33" spans="1:5" ht="15.75">
      <c r="A33" s="93"/>
      <c r="B33" s="93"/>
      <c r="C33" s="93"/>
      <c r="D33" s="93"/>
      <c r="E33" s="93"/>
    </row>
    <row r="34" spans="1:2" ht="15.75">
      <c r="A34" s="33" t="s">
        <v>152</v>
      </c>
      <c r="B34" s="34"/>
    </row>
    <row r="35" spans="1:5" ht="15.75">
      <c r="A35" s="35" t="s">
        <v>1</v>
      </c>
      <c r="B35" s="35" t="s">
        <v>153</v>
      </c>
      <c r="C35" s="35" t="s">
        <v>154</v>
      </c>
      <c r="D35" s="35" t="s">
        <v>7</v>
      </c>
      <c r="E35" s="35" t="s">
        <v>155</v>
      </c>
    </row>
    <row r="36" spans="1:5" ht="14.25">
      <c r="A36" s="36" t="s">
        <v>569</v>
      </c>
      <c r="B36" s="1" t="s">
        <v>152</v>
      </c>
      <c r="C36" s="1" t="s">
        <v>171</v>
      </c>
      <c r="D36" s="1" t="s">
        <v>2021</v>
      </c>
      <c r="E36" s="37" t="s">
        <v>2022</v>
      </c>
    </row>
    <row r="37" spans="1:5" ht="14.25">
      <c r="A37" s="36" t="s">
        <v>2004</v>
      </c>
      <c r="B37" s="1" t="s">
        <v>152</v>
      </c>
      <c r="C37" s="1" t="s">
        <v>944</v>
      </c>
      <c r="D37" s="1" t="s">
        <v>1523</v>
      </c>
      <c r="E37" s="37" t="s">
        <v>2023</v>
      </c>
    </row>
    <row r="38" spans="1:5" ht="14.25">
      <c r="A38" s="36" t="s">
        <v>2009</v>
      </c>
      <c r="B38" s="1" t="s">
        <v>152</v>
      </c>
      <c r="C38" s="1" t="s">
        <v>944</v>
      </c>
      <c r="D38" s="1" t="s">
        <v>1966</v>
      </c>
      <c r="E38" s="37" t="s">
        <v>2024</v>
      </c>
    </row>
    <row r="41" spans="1:2" ht="16.5">
      <c r="A41" s="32" t="s">
        <v>164</v>
      </c>
      <c r="B41" s="32"/>
    </row>
    <row r="42" spans="1:2" ht="15.75">
      <c r="A42" s="33" t="s">
        <v>375</v>
      </c>
      <c r="B42" s="34"/>
    </row>
    <row r="43" spans="1:5" ht="15.75">
      <c r="A43" s="35" t="s">
        <v>1</v>
      </c>
      <c r="B43" s="35" t="s">
        <v>153</v>
      </c>
      <c r="C43" s="35" t="s">
        <v>154</v>
      </c>
      <c r="D43" s="35" t="s">
        <v>7</v>
      </c>
      <c r="E43" s="35" t="s">
        <v>155</v>
      </c>
    </row>
    <row r="44" spans="1:5" ht="14.25">
      <c r="A44" s="36" t="s">
        <v>2017</v>
      </c>
      <c r="B44" s="1" t="s">
        <v>921</v>
      </c>
      <c r="C44" s="1" t="s">
        <v>944</v>
      </c>
      <c r="D44" s="1" t="s">
        <v>2025</v>
      </c>
      <c r="E44" s="37" t="s">
        <v>2026</v>
      </c>
    </row>
    <row r="46" spans="1:2" ht="15.75">
      <c r="A46" s="33" t="s">
        <v>160</v>
      </c>
      <c r="B46" s="34"/>
    </row>
    <row r="47" spans="1:5" ht="15.75">
      <c r="A47" s="35" t="s">
        <v>1</v>
      </c>
      <c r="B47" s="35" t="s">
        <v>153</v>
      </c>
      <c r="C47" s="35" t="s">
        <v>154</v>
      </c>
      <c r="D47" s="35" t="s">
        <v>7</v>
      </c>
      <c r="E47" s="35" t="s">
        <v>155</v>
      </c>
    </row>
    <row r="48" spans="1:5" ht="14.25">
      <c r="A48" s="36" t="s">
        <v>520</v>
      </c>
      <c r="B48" s="1" t="s">
        <v>161</v>
      </c>
      <c r="C48" s="1" t="s">
        <v>372</v>
      </c>
      <c r="D48" s="1" t="s">
        <v>2027</v>
      </c>
      <c r="E48" s="37" t="s">
        <v>2028</v>
      </c>
    </row>
  </sheetData>
  <sheetProtection selectLockedCells="1" selectUnlockedCells="1"/>
  <mergeCells count="15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9:K9"/>
    <mergeCell ref="A12:K12"/>
    <mergeCell ref="A15:K15"/>
    <mergeCell ref="A18:K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1"/>
  <sheetViews>
    <sheetView workbookViewId="0" topLeftCell="A29">
      <selection activeCell="G14" sqref="G14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5.50390625" style="1" customWidth="1"/>
    <col min="7" max="7" width="7.375" style="1" customWidth="1"/>
    <col min="8" max="8" width="2.125" style="1" customWidth="1"/>
    <col min="9" max="9" width="4.50390625" style="1" customWidth="1"/>
    <col min="10" max="10" width="6.375" style="37" customWidth="1"/>
    <col min="11" max="11" width="9.50390625" style="1" customWidth="1"/>
    <col min="12" max="12" width="7.125" style="1" customWidth="1"/>
  </cols>
  <sheetData>
    <row r="1" spans="1:12" s="4" customFormat="1" ht="15" customHeight="1">
      <c r="A1" s="3" t="s">
        <v>2029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6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2001</v>
      </c>
      <c r="C3" s="6" t="s">
        <v>3</v>
      </c>
      <c r="D3" s="7" t="s">
        <v>4</v>
      </c>
      <c r="E3" s="7" t="s">
        <v>5</v>
      </c>
      <c r="F3" s="90" t="s">
        <v>6</v>
      </c>
      <c r="G3" s="90"/>
      <c r="H3" s="90"/>
      <c r="I3" s="90"/>
      <c r="J3" s="7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3" t="s">
        <v>2002</v>
      </c>
      <c r="G4" s="13" t="s">
        <v>2003</v>
      </c>
      <c r="H4" s="13">
        <v>3</v>
      </c>
      <c r="I4" s="14" t="s">
        <v>10</v>
      </c>
      <c r="J4" s="7"/>
      <c r="K4" s="7"/>
      <c r="L4" s="10"/>
    </row>
    <row r="5" spans="1:11" ht="16.5">
      <c r="A5" s="15" t="s">
        <v>202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27" t="s">
        <v>517</v>
      </c>
      <c r="B6" s="27" t="s">
        <v>518</v>
      </c>
      <c r="C6" s="27" t="s">
        <v>519</v>
      </c>
      <c r="D6" s="27">
        <f>"1,0922"</f>
        <v>0</v>
      </c>
      <c r="E6" s="27" t="s">
        <v>15</v>
      </c>
      <c r="F6" s="27" t="s">
        <v>524</v>
      </c>
      <c r="G6" s="27" t="s">
        <v>2030</v>
      </c>
      <c r="H6" s="28"/>
      <c r="I6" s="28"/>
      <c r="J6" s="41">
        <v>1500</v>
      </c>
      <c r="K6" s="27">
        <f>"1638,2598"</f>
        <v>0</v>
      </c>
      <c r="L6" s="27"/>
    </row>
    <row r="8" spans="1:11" ht="16.5">
      <c r="A8" s="23" t="s">
        <v>25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14.25">
      <c r="A9" s="16" t="s">
        <v>549</v>
      </c>
      <c r="B9" s="16" t="s">
        <v>550</v>
      </c>
      <c r="C9" s="16" t="s">
        <v>551</v>
      </c>
      <c r="D9" s="16">
        <f>"0,8483"</f>
        <v>0</v>
      </c>
      <c r="E9" s="16" t="s">
        <v>15</v>
      </c>
      <c r="F9" s="16" t="s">
        <v>526</v>
      </c>
      <c r="G9" s="16" t="s">
        <v>2031</v>
      </c>
      <c r="H9" s="18"/>
      <c r="I9" s="18"/>
      <c r="J9" s="42">
        <v>2325</v>
      </c>
      <c r="K9" s="16">
        <f>"1972,4137"</f>
        <v>0</v>
      </c>
      <c r="L9" s="16"/>
    </row>
    <row r="10" spans="1:12" ht="14.25">
      <c r="A10" s="20" t="s">
        <v>32</v>
      </c>
      <c r="B10" s="20" t="s">
        <v>33</v>
      </c>
      <c r="C10" s="20" t="s">
        <v>34</v>
      </c>
      <c r="D10" s="20">
        <f>"0,9998"</f>
        <v>0</v>
      </c>
      <c r="E10" s="20" t="s">
        <v>15</v>
      </c>
      <c r="F10" s="20" t="s">
        <v>526</v>
      </c>
      <c r="G10" s="20" t="s">
        <v>2032</v>
      </c>
      <c r="H10" s="21"/>
      <c r="I10" s="21"/>
      <c r="J10" s="44">
        <v>1275</v>
      </c>
      <c r="K10" s="20">
        <f>"1274,7817"</f>
        <v>0</v>
      </c>
      <c r="L10" s="20"/>
    </row>
    <row r="12" spans="1:11" ht="16.5">
      <c r="A12" s="23" t="s">
        <v>49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2" ht="14.25">
      <c r="A13" s="27" t="s">
        <v>569</v>
      </c>
      <c r="B13" s="27" t="s">
        <v>570</v>
      </c>
      <c r="C13" s="27" t="s">
        <v>571</v>
      </c>
      <c r="D13" s="27">
        <f>"0,8062"</f>
        <v>0</v>
      </c>
      <c r="E13" s="27" t="s">
        <v>15</v>
      </c>
      <c r="F13" s="27" t="s">
        <v>527</v>
      </c>
      <c r="G13" s="27" t="s">
        <v>2033</v>
      </c>
      <c r="H13" s="28"/>
      <c r="I13" s="28"/>
      <c r="J13" s="41">
        <v>1040</v>
      </c>
      <c r="K13" s="27">
        <f>"838,5000"</f>
        <v>0</v>
      </c>
      <c r="L13" s="27"/>
    </row>
    <row r="15" spans="1:11" ht="16.5">
      <c r="A15" s="23" t="s">
        <v>11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2" ht="14.25">
      <c r="A16" s="16" t="s">
        <v>2034</v>
      </c>
      <c r="B16" s="16" t="s">
        <v>2035</v>
      </c>
      <c r="C16" s="16" t="s">
        <v>2036</v>
      </c>
      <c r="D16" s="16">
        <f>"0,7551"</f>
        <v>0</v>
      </c>
      <c r="E16" s="16" t="s">
        <v>15</v>
      </c>
      <c r="F16" s="16" t="s">
        <v>547</v>
      </c>
      <c r="G16" s="16" t="s">
        <v>582</v>
      </c>
      <c r="H16" s="18"/>
      <c r="I16" s="18"/>
      <c r="J16" s="42">
        <v>3037.5</v>
      </c>
      <c r="K16" s="16">
        <f>"2293,6163"</f>
        <v>0</v>
      </c>
      <c r="L16" s="16"/>
    </row>
    <row r="17" spans="1:12" ht="14.25">
      <c r="A17" s="24" t="s">
        <v>2037</v>
      </c>
      <c r="B17" s="24" t="s">
        <v>2038</v>
      </c>
      <c r="C17" s="24" t="s">
        <v>1012</v>
      </c>
      <c r="D17" s="24">
        <f aca="true" t="shared" si="0" ref="D17:D18">"0,7541"</f>
        <v>0</v>
      </c>
      <c r="E17" s="24" t="s">
        <v>15</v>
      </c>
      <c r="F17" s="24" t="s">
        <v>547</v>
      </c>
      <c r="G17" s="24" t="s">
        <v>2039</v>
      </c>
      <c r="H17" s="25"/>
      <c r="I17" s="25"/>
      <c r="J17" s="43">
        <v>2227.5</v>
      </c>
      <c r="K17" s="24">
        <f>"1679,8691"</f>
        <v>0</v>
      </c>
      <c r="L17" s="24"/>
    </row>
    <row r="18" spans="1:12" ht="14.25">
      <c r="A18" s="20" t="s">
        <v>1010</v>
      </c>
      <c r="B18" s="20" t="s">
        <v>1011</v>
      </c>
      <c r="C18" s="20" t="s">
        <v>1012</v>
      </c>
      <c r="D18" s="20">
        <f t="shared" si="0"/>
        <v>0</v>
      </c>
      <c r="E18" s="20" t="s">
        <v>228</v>
      </c>
      <c r="F18" s="20" t="s">
        <v>547</v>
      </c>
      <c r="G18" s="20" t="s">
        <v>2040</v>
      </c>
      <c r="H18" s="21"/>
      <c r="I18" s="21"/>
      <c r="J18" s="44">
        <v>1755</v>
      </c>
      <c r="K18" s="20">
        <f>"1323,5332"</f>
        <v>0</v>
      </c>
      <c r="L18" s="20"/>
    </row>
    <row r="20" spans="1:11" ht="16.5">
      <c r="A20" s="23" t="s">
        <v>25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2" ht="14.25">
      <c r="A21" s="16" t="s">
        <v>2041</v>
      </c>
      <c r="B21" s="16" t="s">
        <v>2042</v>
      </c>
      <c r="C21" s="16" t="s">
        <v>1443</v>
      </c>
      <c r="D21" s="16">
        <f>"0,6913"</f>
        <v>0</v>
      </c>
      <c r="E21" s="16" t="s">
        <v>15</v>
      </c>
      <c r="F21" s="16" t="s">
        <v>526</v>
      </c>
      <c r="G21" s="16" t="s">
        <v>2043</v>
      </c>
      <c r="H21" s="18"/>
      <c r="I21" s="18"/>
      <c r="J21" s="42">
        <v>3825</v>
      </c>
      <c r="K21" s="16">
        <f>"2644,0314"</f>
        <v>0</v>
      </c>
      <c r="L21" s="16"/>
    </row>
    <row r="22" spans="1:12" ht="14.25">
      <c r="A22" s="24" t="s">
        <v>621</v>
      </c>
      <c r="B22" s="24" t="s">
        <v>622</v>
      </c>
      <c r="C22" s="24" t="s">
        <v>39</v>
      </c>
      <c r="D22" s="24">
        <f>"0,6885"</f>
        <v>0</v>
      </c>
      <c r="E22" s="24" t="s">
        <v>536</v>
      </c>
      <c r="F22" s="24" t="s">
        <v>526</v>
      </c>
      <c r="G22" s="24" t="s">
        <v>2016</v>
      </c>
      <c r="H22" s="25"/>
      <c r="I22" s="25"/>
      <c r="J22" s="43">
        <v>3600</v>
      </c>
      <c r="K22" s="24">
        <f>"2478,7800"</f>
        <v>0</v>
      </c>
      <c r="L22" s="24"/>
    </row>
    <row r="23" spans="1:12" ht="14.25">
      <c r="A23" s="24" t="s">
        <v>2044</v>
      </c>
      <c r="B23" s="24" t="s">
        <v>2045</v>
      </c>
      <c r="C23" s="24" t="s">
        <v>2046</v>
      </c>
      <c r="D23" s="24">
        <f>"0,7466"</f>
        <v>0</v>
      </c>
      <c r="E23" s="24" t="s">
        <v>15</v>
      </c>
      <c r="F23" s="24" t="s">
        <v>540</v>
      </c>
      <c r="G23" s="24" t="s">
        <v>2047</v>
      </c>
      <c r="H23" s="25"/>
      <c r="I23" s="25"/>
      <c r="J23" s="43">
        <v>2590</v>
      </c>
      <c r="K23" s="24">
        <f>"1933,5646"</f>
        <v>0</v>
      </c>
      <c r="L23" s="24"/>
    </row>
    <row r="24" spans="1:12" ht="14.25">
      <c r="A24" s="24" t="s">
        <v>44</v>
      </c>
      <c r="B24" s="24" t="s">
        <v>48</v>
      </c>
      <c r="C24" s="24" t="s">
        <v>39</v>
      </c>
      <c r="D24" s="24">
        <f>"0,8152"</f>
        <v>0</v>
      </c>
      <c r="E24" s="24" t="s">
        <v>15</v>
      </c>
      <c r="F24" s="24" t="s">
        <v>526</v>
      </c>
      <c r="G24" s="24" t="s">
        <v>2048</v>
      </c>
      <c r="H24" s="25"/>
      <c r="I24" s="25"/>
      <c r="J24" s="43">
        <v>1125</v>
      </c>
      <c r="K24" s="24">
        <f>"917,1486"</f>
        <v>0</v>
      </c>
      <c r="L24" s="24"/>
    </row>
    <row r="25" spans="1:12" ht="14.25">
      <c r="A25" s="20" t="s">
        <v>639</v>
      </c>
      <c r="B25" s="20" t="s">
        <v>2049</v>
      </c>
      <c r="C25" s="20" t="s">
        <v>641</v>
      </c>
      <c r="D25" s="20">
        <f>"1,1434"</f>
        <v>0</v>
      </c>
      <c r="E25" s="20" t="s">
        <v>412</v>
      </c>
      <c r="F25" s="20" t="s">
        <v>540</v>
      </c>
      <c r="G25" s="20" t="s">
        <v>2050</v>
      </c>
      <c r="H25" s="21"/>
      <c r="I25" s="21"/>
      <c r="J25" s="44">
        <v>1330</v>
      </c>
      <c r="K25" s="20">
        <f>"1520,7754"</f>
        <v>0</v>
      </c>
      <c r="L25" s="20"/>
    </row>
    <row r="27" spans="1:11" ht="16.5">
      <c r="A27" s="23" t="s">
        <v>49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2" ht="14.25">
      <c r="A28" s="16" t="s">
        <v>649</v>
      </c>
      <c r="B28" s="16" t="s">
        <v>650</v>
      </c>
      <c r="C28" s="16" t="s">
        <v>651</v>
      </c>
      <c r="D28" s="16">
        <f>"0,6492"</f>
        <v>0</v>
      </c>
      <c r="E28" s="16" t="s">
        <v>15</v>
      </c>
      <c r="F28" s="16" t="s">
        <v>512</v>
      </c>
      <c r="G28" s="16" t="s">
        <v>582</v>
      </c>
      <c r="H28" s="18"/>
      <c r="I28" s="18"/>
      <c r="J28" s="42">
        <v>3712.5</v>
      </c>
      <c r="K28" s="16">
        <f>"2410,3405"</f>
        <v>0</v>
      </c>
      <c r="L28" s="16"/>
    </row>
    <row r="29" spans="1:12" ht="14.25">
      <c r="A29" s="24" t="s">
        <v>225</v>
      </c>
      <c r="B29" s="24" t="s">
        <v>226</v>
      </c>
      <c r="C29" s="24" t="s">
        <v>227</v>
      </c>
      <c r="D29" s="24">
        <f>"0,6508"</f>
        <v>0</v>
      </c>
      <c r="E29" s="24" t="s">
        <v>228</v>
      </c>
      <c r="F29" s="24" t="s">
        <v>512</v>
      </c>
      <c r="G29" s="24" t="s">
        <v>2051</v>
      </c>
      <c r="H29" s="25"/>
      <c r="I29" s="25"/>
      <c r="J29" s="43">
        <v>2805</v>
      </c>
      <c r="K29" s="24">
        <f>"1825,4940"</f>
        <v>0</v>
      </c>
      <c r="L29" s="24"/>
    </row>
    <row r="30" spans="1:12" ht="14.25">
      <c r="A30" s="24" t="s">
        <v>2052</v>
      </c>
      <c r="B30" s="24" t="s">
        <v>2053</v>
      </c>
      <c r="C30" s="24" t="s">
        <v>2054</v>
      </c>
      <c r="D30" s="24">
        <f>"0,6518"</f>
        <v>0</v>
      </c>
      <c r="E30" s="24" t="s">
        <v>15</v>
      </c>
      <c r="F30" s="24" t="s">
        <v>512</v>
      </c>
      <c r="G30" s="24" t="s">
        <v>2008</v>
      </c>
      <c r="H30" s="25"/>
      <c r="I30" s="25"/>
      <c r="J30" s="43">
        <v>2475</v>
      </c>
      <c r="K30" s="24">
        <f>"1613,3287"</f>
        <v>0</v>
      </c>
      <c r="L30" s="24"/>
    </row>
    <row r="31" spans="1:12" ht="14.25">
      <c r="A31" s="24" t="s">
        <v>2055</v>
      </c>
      <c r="B31" s="24" t="s">
        <v>655</v>
      </c>
      <c r="C31" s="24" t="s">
        <v>656</v>
      </c>
      <c r="D31" s="24">
        <f>"0,6561"</f>
        <v>0</v>
      </c>
      <c r="E31" s="24" t="s">
        <v>15</v>
      </c>
      <c r="F31" s="24" t="s">
        <v>512</v>
      </c>
      <c r="G31" s="24" t="s">
        <v>2056</v>
      </c>
      <c r="H31" s="25"/>
      <c r="I31" s="25"/>
      <c r="J31" s="43">
        <v>2310</v>
      </c>
      <c r="K31" s="24">
        <f>"1515,7065"</f>
        <v>0</v>
      </c>
      <c r="L31" s="24"/>
    </row>
    <row r="32" spans="1:12" ht="14.25">
      <c r="A32" s="24" t="s">
        <v>2057</v>
      </c>
      <c r="B32" s="24" t="s">
        <v>2058</v>
      </c>
      <c r="C32" s="24" t="s">
        <v>2059</v>
      </c>
      <c r="D32" s="24">
        <f>"0,6570"</f>
        <v>0</v>
      </c>
      <c r="E32" s="24" t="s">
        <v>228</v>
      </c>
      <c r="F32" s="24" t="s">
        <v>512</v>
      </c>
      <c r="G32" s="24" t="s">
        <v>2032</v>
      </c>
      <c r="H32" s="25"/>
      <c r="I32" s="25"/>
      <c r="J32" s="43">
        <v>1402.5</v>
      </c>
      <c r="K32" s="24">
        <f>"921,4425"</f>
        <v>0</v>
      </c>
      <c r="L32" s="24"/>
    </row>
    <row r="33" spans="1:12" ht="14.25">
      <c r="A33" s="24" t="s">
        <v>2060</v>
      </c>
      <c r="B33" s="24" t="s">
        <v>2061</v>
      </c>
      <c r="C33" s="24" t="s">
        <v>2062</v>
      </c>
      <c r="D33" s="24">
        <f>"0,7092"</f>
        <v>0</v>
      </c>
      <c r="E33" s="24" t="s">
        <v>15</v>
      </c>
      <c r="F33" s="24" t="s">
        <v>511</v>
      </c>
      <c r="G33" s="24" t="s">
        <v>2051</v>
      </c>
      <c r="H33" s="25"/>
      <c r="I33" s="25"/>
      <c r="J33" s="43">
        <v>2635</v>
      </c>
      <c r="K33" s="24">
        <f>"1868,7100"</f>
        <v>0</v>
      </c>
      <c r="L33" s="24"/>
    </row>
    <row r="34" spans="1:12" ht="14.25">
      <c r="A34" s="24" t="s">
        <v>2063</v>
      </c>
      <c r="B34" s="24" t="s">
        <v>2064</v>
      </c>
      <c r="C34" s="24" t="s">
        <v>249</v>
      </c>
      <c r="D34" s="24">
        <f>"0,6750"</f>
        <v>0</v>
      </c>
      <c r="E34" s="24" t="s">
        <v>15</v>
      </c>
      <c r="F34" s="24" t="s">
        <v>512</v>
      </c>
      <c r="G34" s="24" t="s">
        <v>2065</v>
      </c>
      <c r="H34" s="25"/>
      <c r="I34" s="25"/>
      <c r="J34" s="43">
        <v>2640</v>
      </c>
      <c r="K34" s="24">
        <f>"1781,9404"</f>
        <v>0</v>
      </c>
      <c r="L34" s="24"/>
    </row>
    <row r="35" spans="1:12" ht="14.25">
      <c r="A35" s="24" t="s">
        <v>673</v>
      </c>
      <c r="B35" s="24" t="s">
        <v>674</v>
      </c>
      <c r="C35" s="24" t="s">
        <v>656</v>
      </c>
      <c r="D35" s="24">
        <f>"0,7198"</f>
        <v>0</v>
      </c>
      <c r="E35" s="24" t="s">
        <v>228</v>
      </c>
      <c r="F35" s="24" t="s">
        <v>512</v>
      </c>
      <c r="G35" s="24" t="s">
        <v>2066</v>
      </c>
      <c r="H35" s="25"/>
      <c r="I35" s="25"/>
      <c r="J35" s="43">
        <v>1320</v>
      </c>
      <c r="K35" s="24">
        <f>"950,1314"</f>
        <v>0</v>
      </c>
      <c r="L35" s="24"/>
    </row>
    <row r="36" spans="1:12" ht="14.25">
      <c r="A36" s="20" t="s">
        <v>675</v>
      </c>
      <c r="B36" s="20" t="s">
        <v>676</v>
      </c>
      <c r="C36" s="20" t="s">
        <v>677</v>
      </c>
      <c r="D36" s="20">
        <f>"0,9110"</f>
        <v>0</v>
      </c>
      <c r="E36" s="20" t="s">
        <v>15</v>
      </c>
      <c r="F36" s="20" t="s">
        <v>512</v>
      </c>
      <c r="G36" s="20" t="s">
        <v>2067</v>
      </c>
      <c r="H36" s="21"/>
      <c r="I36" s="21"/>
      <c r="J36" s="44">
        <v>1485</v>
      </c>
      <c r="K36" s="20">
        <f>"1352,8677"</f>
        <v>0</v>
      </c>
      <c r="L36" s="20"/>
    </row>
    <row r="38" spans="1:11" ht="16.5">
      <c r="A38" s="23" t="s">
        <v>63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2" ht="14.25">
      <c r="A39" s="16" t="s">
        <v>708</v>
      </c>
      <c r="B39" s="16" t="s">
        <v>709</v>
      </c>
      <c r="C39" s="16" t="s">
        <v>710</v>
      </c>
      <c r="D39" s="16">
        <f>"0,6269"</f>
        <v>0</v>
      </c>
      <c r="E39" s="16" t="s">
        <v>15</v>
      </c>
      <c r="F39" s="16" t="s">
        <v>528</v>
      </c>
      <c r="G39" s="16" t="s">
        <v>2066</v>
      </c>
      <c r="H39" s="18"/>
      <c r="I39" s="18"/>
      <c r="J39" s="42">
        <v>1400</v>
      </c>
      <c r="K39" s="16">
        <f>"877,5900"</f>
        <v>0</v>
      </c>
      <c r="L39" s="16"/>
    </row>
    <row r="40" spans="1:12" ht="14.25">
      <c r="A40" s="24" t="s">
        <v>708</v>
      </c>
      <c r="B40" s="24" t="s">
        <v>722</v>
      </c>
      <c r="C40" s="24" t="s">
        <v>710</v>
      </c>
      <c r="D40" s="24">
        <f>"0,6463"</f>
        <v>0</v>
      </c>
      <c r="E40" s="24" t="s">
        <v>15</v>
      </c>
      <c r="F40" s="24" t="s">
        <v>528</v>
      </c>
      <c r="G40" s="24" t="s">
        <v>2066</v>
      </c>
      <c r="H40" s="25"/>
      <c r="I40" s="25"/>
      <c r="J40" s="43">
        <v>1400</v>
      </c>
      <c r="K40" s="24">
        <f>"904,7953"</f>
        <v>0</v>
      </c>
      <c r="L40" s="24"/>
    </row>
    <row r="41" spans="1:12" ht="14.25">
      <c r="A41" s="24" t="s">
        <v>734</v>
      </c>
      <c r="B41" s="24" t="s">
        <v>735</v>
      </c>
      <c r="C41" s="24" t="s">
        <v>736</v>
      </c>
      <c r="D41" s="24">
        <f>"0,7447"</f>
        <v>0</v>
      </c>
      <c r="E41" s="24" t="s">
        <v>15</v>
      </c>
      <c r="F41" s="24" t="s">
        <v>328</v>
      </c>
      <c r="G41" s="24" t="s">
        <v>2068</v>
      </c>
      <c r="H41" s="25"/>
      <c r="I41" s="25"/>
      <c r="J41" s="43">
        <v>1955</v>
      </c>
      <c r="K41" s="24">
        <f>"1455,8258"</f>
        <v>0</v>
      </c>
      <c r="L41" s="24"/>
    </row>
    <row r="42" spans="1:12" ht="14.25">
      <c r="A42" s="24" t="s">
        <v>738</v>
      </c>
      <c r="B42" s="24" t="s">
        <v>739</v>
      </c>
      <c r="C42" s="24" t="s">
        <v>740</v>
      </c>
      <c r="D42" s="24">
        <f>"0,7652"</f>
        <v>0</v>
      </c>
      <c r="E42" s="24" t="s">
        <v>15</v>
      </c>
      <c r="F42" s="24" t="s">
        <v>528</v>
      </c>
      <c r="G42" s="24" t="s">
        <v>2031</v>
      </c>
      <c r="H42" s="25"/>
      <c r="I42" s="25"/>
      <c r="J42" s="43">
        <v>2712.5</v>
      </c>
      <c r="K42" s="24">
        <f>"2075,5949"</f>
        <v>0</v>
      </c>
      <c r="L42" s="24"/>
    </row>
    <row r="43" spans="1:12" ht="14.25">
      <c r="A43" s="20" t="s">
        <v>1235</v>
      </c>
      <c r="B43" s="20" t="s">
        <v>1236</v>
      </c>
      <c r="C43" s="20" t="s">
        <v>1234</v>
      </c>
      <c r="D43" s="20">
        <f>"0,8046"</f>
        <v>0</v>
      </c>
      <c r="E43" s="20" t="s">
        <v>15</v>
      </c>
      <c r="F43" s="20" t="s">
        <v>22</v>
      </c>
      <c r="G43" s="20" t="s">
        <v>2030</v>
      </c>
      <c r="H43" s="21"/>
      <c r="I43" s="21"/>
      <c r="J43" s="44">
        <v>2250</v>
      </c>
      <c r="K43" s="20">
        <f>"1810,3112"</f>
        <v>0</v>
      </c>
      <c r="L43" s="20"/>
    </row>
    <row r="45" spans="1:11" ht="16.5">
      <c r="A45" s="23" t="s">
        <v>69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2" ht="14.25">
      <c r="A46" s="16" t="s">
        <v>2069</v>
      </c>
      <c r="B46" s="16" t="s">
        <v>2070</v>
      </c>
      <c r="C46" s="16" t="s">
        <v>1638</v>
      </c>
      <c r="D46" s="16">
        <f>"0,5980"</f>
        <v>0</v>
      </c>
      <c r="E46" s="16" t="s">
        <v>15</v>
      </c>
      <c r="F46" s="16" t="s">
        <v>23</v>
      </c>
      <c r="G46" s="16" t="s">
        <v>2071</v>
      </c>
      <c r="H46" s="18"/>
      <c r="I46" s="18"/>
      <c r="J46" s="42">
        <v>3705</v>
      </c>
      <c r="K46" s="16">
        <f>"2215,5900"</f>
        <v>0</v>
      </c>
      <c r="L46" s="16"/>
    </row>
    <row r="47" spans="1:12" ht="14.25">
      <c r="A47" s="24" t="s">
        <v>2072</v>
      </c>
      <c r="B47" s="24" t="s">
        <v>2073</v>
      </c>
      <c r="C47" s="24" t="s">
        <v>761</v>
      </c>
      <c r="D47" s="24">
        <f>"0,5932"</f>
        <v>0</v>
      </c>
      <c r="E47" s="24" t="s">
        <v>15</v>
      </c>
      <c r="F47" s="24" t="s">
        <v>16</v>
      </c>
      <c r="G47" s="24" t="s">
        <v>2039</v>
      </c>
      <c r="H47" s="25"/>
      <c r="I47" s="25"/>
      <c r="J47" s="43">
        <v>3300</v>
      </c>
      <c r="K47" s="24">
        <f>"1957,4973"</f>
        <v>0</v>
      </c>
      <c r="L47" s="24"/>
    </row>
    <row r="48" spans="1:12" ht="14.25">
      <c r="A48" s="24" t="s">
        <v>756</v>
      </c>
      <c r="B48" s="24" t="s">
        <v>757</v>
      </c>
      <c r="C48" s="24" t="s">
        <v>758</v>
      </c>
      <c r="D48" s="24">
        <f>"0,5936"</f>
        <v>0</v>
      </c>
      <c r="E48" s="24" t="s">
        <v>15</v>
      </c>
      <c r="F48" s="24" t="s">
        <v>24</v>
      </c>
      <c r="G48" s="24" t="s">
        <v>2008</v>
      </c>
      <c r="H48" s="25"/>
      <c r="I48" s="25"/>
      <c r="J48" s="43">
        <v>2925</v>
      </c>
      <c r="K48" s="24">
        <f>"1736,3605"</f>
        <v>0</v>
      </c>
      <c r="L48" s="24"/>
    </row>
    <row r="49" spans="1:12" ht="14.25">
      <c r="A49" s="24" t="s">
        <v>2074</v>
      </c>
      <c r="B49" s="24" t="s">
        <v>2075</v>
      </c>
      <c r="C49" s="24" t="s">
        <v>746</v>
      </c>
      <c r="D49" s="24">
        <f>"0,6484"</f>
        <v>0</v>
      </c>
      <c r="E49" s="24" t="s">
        <v>15</v>
      </c>
      <c r="F49" s="24" t="s">
        <v>693</v>
      </c>
      <c r="G49" s="24" t="s">
        <v>2076</v>
      </c>
      <c r="H49" s="25"/>
      <c r="I49" s="25"/>
      <c r="J49" s="43">
        <v>2682.5</v>
      </c>
      <c r="K49" s="24">
        <f>"1739,2868"</f>
        <v>0</v>
      </c>
      <c r="L49" s="24"/>
    </row>
    <row r="50" spans="1:12" ht="14.25">
      <c r="A50" s="20" t="s">
        <v>771</v>
      </c>
      <c r="B50" s="20" t="s">
        <v>772</v>
      </c>
      <c r="C50" s="20" t="s">
        <v>773</v>
      </c>
      <c r="D50" s="20">
        <f>"0,7620"</f>
        <v>0</v>
      </c>
      <c r="E50" s="20" t="s">
        <v>638</v>
      </c>
      <c r="F50" s="20" t="s">
        <v>23</v>
      </c>
      <c r="G50" s="20" t="s">
        <v>2077</v>
      </c>
      <c r="H50" s="21"/>
      <c r="I50" s="21"/>
      <c r="J50" s="44">
        <v>950</v>
      </c>
      <c r="K50" s="20">
        <f>"723,9044"</f>
        <v>0</v>
      </c>
      <c r="L50" s="20"/>
    </row>
    <row r="52" spans="1:11" ht="16.5">
      <c r="A52" s="23" t="s">
        <v>94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2" ht="14.25">
      <c r="A53" s="16" t="s">
        <v>291</v>
      </c>
      <c r="B53" s="16" t="s">
        <v>292</v>
      </c>
      <c r="C53" s="16" t="s">
        <v>293</v>
      </c>
      <c r="D53" s="16">
        <f>"0,5627"</f>
        <v>0</v>
      </c>
      <c r="E53" s="16" t="s">
        <v>15</v>
      </c>
      <c r="F53" s="16" t="s">
        <v>17</v>
      </c>
      <c r="G53" s="16" t="s">
        <v>2048</v>
      </c>
      <c r="H53" s="18"/>
      <c r="I53" s="18"/>
      <c r="J53" s="42">
        <v>1650</v>
      </c>
      <c r="K53" s="16">
        <f>"928,3725"</f>
        <v>0</v>
      </c>
      <c r="L53" s="16"/>
    </row>
    <row r="54" spans="1:12" ht="14.25">
      <c r="A54" s="24" t="s">
        <v>778</v>
      </c>
      <c r="B54" s="24" t="s">
        <v>779</v>
      </c>
      <c r="C54" s="24" t="s">
        <v>780</v>
      </c>
      <c r="D54" s="24">
        <f>"0,5799"</f>
        <v>0</v>
      </c>
      <c r="E54" s="24" t="s">
        <v>228</v>
      </c>
      <c r="F54" s="24" t="s">
        <v>516</v>
      </c>
      <c r="G54" s="24" t="s">
        <v>2078</v>
      </c>
      <c r="H54" s="25"/>
      <c r="I54" s="25"/>
      <c r="J54" s="43">
        <v>2460</v>
      </c>
      <c r="K54" s="24">
        <f>"1426,4310"</f>
        <v>0</v>
      </c>
      <c r="L54" s="24"/>
    </row>
    <row r="55" spans="1:12" ht="14.25">
      <c r="A55" s="24" t="s">
        <v>2079</v>
      </c>
      <c r="B55" s="24" t="s">
        <v>2080</v>
      </c>
      <c r="C55" s="24" t="s">
        <v>2081</v>
      </c>
      <c r="D55" s="24">
        <f>"0,5803"</f>
        <v>0</v>
      </c>
      <c r="E55" s="24" t="s">
        <v>15</v>
      </c>
      <c r="F55" s="24" t="s">
        <v>516</v>
      </c>
      <c r="G55" s="24" t="s">
        <v>2039</v>
      </c>
      <c r="H55" s="25"/>
      <c r="I55" s="25"/>
      <c r="J55" s="43">
        <v>3382.5</v>
      </c>
      <c r="K55" s="24">
        <f>"1963,0338"</f>
        <v>0</v>
      </c>
      <c r="L55" s="24"/>
    </row>
    <row r="56" spans="1:12" ht="14.25">
      <c r="A56" s="24" t="s">
        <v>2082</v>
      </c>
      <c r="B56" s="24" t="s">
        <v>2083</v>
      </c>
      <c r="C56" s="24" t="s">
        <v>2084</v>
      </c>
      <c r="D56" s="24">
        <f>"0,5756"</f>
        <v>0</v>
      </c>
      <c r="E56" s="24" t="s">
        <v>15</v>
      </c>
      <c r="F56" s="24" t="s">
        <v>516</v>
      </c>
      <c r="G56" s="24" t="s">
        <v>2065</v>
      </c>
      <c r="H56" s="25"/>
      <c r="I56" s="25"/>
      <c r="J56" s="43">
        <v>3280</v>
      </c>
      <c r="K56" s="24">
        <f>"1888,1319"</f>
        <v>0</v>
      </c>
      <c r="L56" s="24"/>
    </row>
    <row r="57" spans="1:12" ht="14.25">
      <c r="A57" s="24" t="s">
        <v>2085</v>
      </c>
      <c r="B57" s="24" t="s">
        <v>2086</v>
      </c>
      <c r="C57" s="24" t="s">
        <v>2087</v>
      </c>
      <c r="D57" s="24">
        <f>"0,5788"</f>
        <v>0</v>
      </c>
      <c r="E57" s="24" t="s">
        <v>15</v>
      </c>
      <c r="F57" s="24" t="s">
        <v>516</v>
      </c>
      <c r="G57" s="24" t="s">
        <v>2031</v>
      </c>
      <c r="H57" s="25"/>
      <c r="I57" s="25"/>
      <c r="J57" s="43">
        <v>3177.5</v>
      </c>
      <c r="K57" s="24">
        <f>"1838,9782"</f>
        <v>0</v>
      </c>
      <c r="L57" s="24"/>
    </row>
    <row r="58" spans="1:12" ht="14.25">
      <c r="A58" s="24" t="s">
        <v>799</v>
      </c>
      <c r="B58" s="24" t="s">
        <v>809</v>
      </c>
      <c r="C58" s="24" t="s">
        <v>126</v>
      </c>
      <c r="D58" s="24">
        <f>"0,5795"</f>
        <v>0</v>
      </c>
      <c r="E58" s="24" t="s">
        <v>15</v>
      </c>
      <c r="F58" s="24" t="s">
        <v>260</v>
      </c>
      <c r="G58" s="24" t="s">
        <v>2056</v>
      </c>
      <c r="H58" s="25"/>
      <c r="I58" s="25"/>
      <c r="J58" s="43">
        <v>3010</v>
      </c>
      <c r="K58" s="24">
        <f>"1744,1806"</f>
        <v>0</v>
      </c>
      <c r="L58" s="24"/>
    </row>
    <row r="59" spans="1:12" ht="14.25">
      <c r="A59" s="20" t="s">
        <v>112</v>
      </c>
      <c r="B59" s="20" t="s">
        <v>113</v>
      </c>
      <c r="C59" s="20" t="s">
        <v>114</v>
      </c>
      <c r="D59" s="20">
        <f>"0,5951"</f>
        <v>0</v>
      </c>
      <c r="E59" s="20" t="s">
        <v>15</v>
      </c>
      <c r="F59" s="20" t="s">
        <v>17</v>
      </c>
      <c r="G59" s="20" t="s">
        <v>2068</v>
      </c>
      <c r="H59" s="21"/>
      <c r="I59" s="21"/>
      <c r="J59" s="44">
        <v>2530</v>
      </c>
      <c r="K59" s="20">
        <f>"1505,5340"</f>
        <v>0</v>
      </c>
      <c r="L59" s="20"/>
    </row>
    <row r="61" spans="1:11" ht="16.5">
      <c r="A61" s="23" t="s">
        <v>127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2" ht="14.25">
      <c r="A62" s="16" t="s">
        <v>2088</v>
      </c>
      <c r="B62" s="16" t="s">
        <v>2089</v>
      </c>
      <c r="C62" s="16" t="s">
        <v>2090</v>
      </c>
      <c r="D62" s="16">
        <f>"0,5591"</f>
        <v>0</v>
      </c>
      <c r="E62" s="16" t="s">
        <v>15</v>
      </c>
      <c r="F62" s="16" t="s">
        <v>218</v>
      </c>
      <c r="G62" s="16" t="s">
        <v>2031</v>
      </c>
      <c r="H62" s="18"/>
      <c r="I62" s="18"/>
      <c r="J62" s="42">
        <v>3487.5</v>
      </c>
      <c r="K62" s="16">
        <f>"1950,0356"</f>
        <v>0</v>
      </c>
      <c r="L62" s="16"/>
    </row>
    <row r="63" spans="1:12" ht="14.25">
      <c r="A63" s="24" t="s">
        <v>2091</v>
      </c>
      <c r="B63" s="24" t="s">
        <v>2092</v>
      </c>
      <c r="C63" s="24" t="s">
        <v>2093</v>
      </c>
      <c r="D63" s="24">
        <f>"0,5512"</f>
        <v>0</v>
      </c>
      <c r="E63" s="24" t="s">
        <v>15</v>
      </c>
      <c r="F63" s="24" t="s">
        <v>29</v>
      </c>
      <c r="G63" s="24" t="s">
        <v>2050</v>
      </c>
      <c r="H63" s="25"/>
      <c r="I63" s="25"/>
      <c r="J63" s="43">
        <v>2280</v>
      </c>
      <c r="K63" s="24">
        <f>"1256,6221"</f>
        <v>0</v>
      </c>
      <c r="L63" s="24"/>
    </row>
    <row r="64" spans="1:12" ht="14.25">
      <c r="A64" s="24" t="s">
        <v>2094</v>
      </c>
      <c r="B64" s="24" t="s">
        <v>2095</v>
      </c>
      <c r="C64" s="24" t="s">
        <v>2096</v>
      </c>
      <c r="D64" s="24">
        <f>"0,5602"</f>
        <v>0</v>
      </c>
      <c r="E64" s="24" t="s">
        <v>228</v>
      </c>
      <c r="F64" s="24" t="s">
        <v>218</v>
      </c>
      <c r="G64" s="24" t="s">
        <v>2067</v>
      </c>
      <c r="H64" s="25"/>
      <c r="I64" s="25"/>
      <c r="J64" s="43">
        <v>2025</v>
      </c>
      <c r="K64" s="24">
        <f>"1134,4050"</f>
        <v>0</v>
      </c>
      <c r="L64" s="24"/>
    </row>
    <row r="65" spans="1:12" ht="14.25">
      <c r="A65" s="24" t="s">
        <v>2088</v>
      </c>
      <c r="B65" s="24" t="s">
        <v>2097</v>
      </c>
      <c r="C65" s="24" t="s">
        <v>2090</v>
      </c>
      <c r="D65" s="24">
        <f>"0,5703"</f>
        <v>0</v>
      </c>
      <c r="E65" s="24" t="s">
        <v>15</v>
      </c>
      <c r="F65" s="24" t="s">
        <v>218</v>
      </c>
      <c r="G65" s="24" t="s">
        <v>2031</v>
      </c>
      <c r="H65" s="25"/>
      <c r="I65" s="25"/>
      <c r="J65" s="43">
        <v>3487.5</v>
      </c>
      <c r="K65" s="24">
        <f>"1989,0364"</f>
        <v>0</v>
      </c>
      <c r="L65" s="24"/>
    </row>
    <row r="66" spans="1:12" ht="14.25">
      <c r="A66" s="24" t="s">
        <v>2098</v>
      </c>
      <c r="B66" s="24" t="s">
        <v>2099</v>
      </c>
      <c r="C66" s="24" t="s">
        <v>2100</v>
      </c>
      <c r="D66" s="24">
        <f>"0,6355"</f>
        <v>0</v>
      </c>
      <c r="E66" s="24" t="s">
        <v>15</v>
      </c>
      <c r="F66" s="24" t="s">
        <v>218</v>
      </c>
      <c r="G66" s="24" t="s">
        <v>2101</v>
      </c>
      <c r="H66" s="25"/>
      <c r="I66" s="25"/>
      <c r="J66" s="43">
        <v>2250</v>
      </c>
      <c r="K66" s="24">
        <f>"1429,7749"</f>
        <v>0</v>
      </c>
      <c r="L66" s="24"/>
    </row>
    <row r="67" spans="1:12" ht="14.25">
      <c r="A67" s="20" t="s">
        <v>2094</v>
      </c>
      <c r="B67" s="20" t="s">
        <v>2102</v>
      </c>
      <c r="C67" s="20" t="s">
        <v>2096</v>
      </c>
      <c r="D67" s="20">
        <f>"0,5910"</f>
        <v>0</v>
      </c>
      <c r="E67" s="20" t="s">
        <v>228</v>
      </c>
      <c r="F67" s="20" t="s">
        <v>218</v>
      </c>
      <c r="G67" s="20" t="s">
        <v>2067</v>
      </c>
      <c r="H67" s="21"/>
      <c r="I67" s="21"/>
      <c r="J67" s="44">
        <v>2025</v>
      </c>
      <c r="K67" s="20">
        <f>"1196,7973"</f>
        <v>0</v>
      </c>
      <c r="L67" s="20"/>
    </row>
    <row r="69" spans="1:11" ht="16.5">
      <c r="A69" s="23" t="s">
        <v>135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ht="14.25">
      <c r="A70" s="16" t="s">
        <v>2103</v>
      </c>
      <c r="B70" s="16" t="s">
        <v>2104</v>
      </c>
      <c r="C70" s="16" t="s">
        <v>1684</v>
      </c>
      <c r="D70" s="16">
        <f>"0,5492"</f>
        <v>0</v>
      </c>
      <c r="E70" s="16" t="s">
        <v>15</v>
      </c>
      <c r="F70" s="16" t="s">
        <v>1226</v>
      </c>
      <c r="G70" s="16" t="s">
        <v>2040</v>
      </c>
      <c r="H70" s="18"/>
      <c r="I70" s="18"/>
      <c r="J70" s="42">
        <v>3315</v>
      </c>
      <c r="K70" s="16">
        <f>"1820,5901"</f>
        <v>0</v>
      </c>
      <c r="L70" s="16"/>
    </row>
    <row r="71" spans="1:12" ht="14.25">
      <c r="A71" s="20" t="s">
        <v>883</v>
      </c>
      <c r="B71" s="20" t="s">
        <v>884</v>
      </c>
      <c r="C71" s="20" t="s">
        <v>885</v>
      </c>
      <c r="D71" s="20">
        <f>"0,5596"</f>
        <v>0</v>
      </c>
      <c r="E71" s="20" t="s">
        <v>15</v>
      </c>
      <c r="F71" s="20" t="s">
        <v>1226</v>
      </c>
      <c r="G71" s="20" t="s">
        <v>2068</v>
      </c>
      <c r="H71" s="21"/>
      <c r="I71" s="21"/>
      <c r="J71" s="44">
        <v>2932.5</v>
      </c>
      <c r="K71" s="20">
        <f>"1641,1659"</f>
        <v>0</v>
      </c>
      <c r="L71" s="20"/>
    </row>
    <row r="73" spans="1:11" ht="16.5">
      <c r="A73" s="23" t="s">
        <v>140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2" ht="14.25">
      <c r="A74" s="27" t="s">
        <v>359</v>
      </c>
      <c r="B74" s="27" t="s">
        <v>360</v>
      </c>
      <c r="C74" s="27" t="s">
        <v>361</v>
      </c>
      <c r="D74" s="27">
        <f>"0,5306"</f>
        <v>0</v>
      </c>
      <c r="E74" s="27" t="s">
        <v>228</v>
      </c>
      <c r="F74" s="27" t="s">
        <v>774</v>
      </c>
      <c r="G74" s="27" t="s">
        <v>2077</v>
      </c>
      <c r="H74" s="28"/>
      <c r="I74" s="28"/>
      <c r="J74" s="41">
        <v>1425</v>
      </c>
      <c r="K74" s="27">
        <f>"756,1620"</f>
        <v>0</v>
      </c>
      <c r="L74" s="27"/>
    </row>
    <row r="76" ht="16.5">
      <c r="E76" s="30" t="s">
        <v>144</v>
      </c>
    </row>
    <row r="77" ht="16.5">
      <c r="E77" s="30" t="s">
        <v>145</v>
      </c>
    </row>
    <row r="78" ht="16.5">
      <c r="E78" s="30" t="s">
        <v>146</v>
      </c>
    </row>
    <row r="79" ht="14.25">
      <c r="E79" s="1" t="s">
        <v>147</v>
      </c>
    </row>
    <row r="80" ht="14.25">
      <c r="E80" s="1" t="s">
        <v>148</v>
      </c>
    </row>
    <row r="81" ht="14.25">
      <c r="E81" s="1" t="s">
        <v>149</v>
      </c>
    </row>
    <row r="84" spans="1:2" ht="18.75">
      <c r="A84" s="31" t="s">
        <v>150</v>
      </c>
      <c r="B84" s="31"/>
    </row>
    <row r="85" spans="1:2" ht="16.5">
      <c r="A85" s="32" t="s">
        <v>151</v>
      </c>
      <c r="B85" s="32"/>
    </row>
    <row r="86" spans="1:2" ht="15.75">
      <c r="A86" s="33" t="s">
        <v>152</v>
      </c>
      <c r="B86" s="34"/>
    </row>
    <row r="87" spans="1:5" ht="15.75">
      <c r="A87" s="35" t="s">
        <v>1</v>
      </c>
      <c r="B87" s="35" t="s">
        <v>153</v>
      </c>
      <c r="C87" s="35" t="s">
        <v>154</v>
      </c>
      <c r="D87" s="35" t="s">
        <v>7</v>
      </c>
      <c r="E87" s="35" t="s">
        <v>155</v>
      </c>
    </row>
    <row r="88" spans="1:5" ht="14.25">
      <c r="A88" s="36" t="s">
        <v>549</v>
      </c>
      <c r="B88" s="1" t="s">
        <v>152</v>
      </c>
      <c r="C88" s="1" t="s">
        <v>156</v>
      </c>
      <c r="D88" s="1" t="s">
        <v>2105</v>
      </c>
      <c r="E88" s="37" t="s">
        <v>2106</v>
      </c>
    </row>
    <row r="89" spans="1:5" ht="14.25">
      <c r="A89" s="36" t="s">
        <v>569</v>
      </c>
      <c r="B89" s="1" t="s">
        <v>152</v>
      </c>
      <c r="C89" s="1" t="s">
        <v>171</v>
      </c>
      <c r="D89" s="1" t="s">
        <v>2107</v>
      </c>
      <c r="E89" s="37" t="s">
        <v>2108</v>
      </c>
    </row>
    <row r="91" spans="1:2" ht="15.75">
      <c r="A91" s="33" t="s">
        <v>160</v>
      </c>
      <c r="B91" s="34"/>
    </row>
    <row r="92" spans="1:5" ht="15.75">
      <c r="A92" s="35" t="s">
        <v>1</v>
      </c>
      <c r="B92" s="35" t="s">
        <v>153</v>
      </c>
      <c r="C92" s="35" t="s">
        <v>154</v>
      </c>
      <c r="D92" s="35" t="s">
        <v>7</v>
      </c>
      <c r="E92" s="35" t="s">
        <v>155</v>
      </c>
    </row>
    <row r="93" spans="1:5" ht="14.25">
      <c r="A93" s="36" t="s">
        <v>517</v>
      </c>
      <c r="B93" s="1" t="s">
        <v>188</v>
      </c>
      <c r="C93" s="1" t="s">
        <v>372</v>
      </c>
      <c r="D93" s="1" t="s">
        <v>2027</v>
      </c>
      <c r="E93" s="37" t="s">
        <v>2109</v>
      </c>
    </row>
    <row r="94" spans="1:5" ht="14.25">
      <c r="A94" s="36" t="s">
        <v>32</v>
      </c>
      <c r="B94" s="1" t="s">
        <v>161</v>
      </c>
      <c r="C94" s="1" t="s">
        <v>156</v>
      </c>
      <c r="D94" s="1" t="s">
        <v>2110</v>
      </c>
      <c r="E94" s="37" t="s">
        <v>2111</v>
      </c>
    </row>
    <row r="97" spans="1:2" ht="16.5">
      <c r="A97" s="32" t="s">
        <v>164</v>
      </c>
      <c r="B97" s="32"/>
    </row>
    <row r="98" spans="1:2" ht="15.75">
      <c r="A98" s="33" t="s">
        <v>375</v>
      </c>
      <c r="B98" s="34"/>
    </row>
    <row r="99" spans="1:5" ht="15.75">
      <c r="A99" s="35" t="s">
        <v>1</v>
      </c>
      <c r="B99" s="35" t="s">
        <v>153</v>
      </c>
      <c r="C99" s="35" t="s">
        <v>154</v>
      </c>
      <c r="D99" s="35" t="s">
        <v>7</v>
      </c>
      <c r="E99" s="35" t="s">
        <v>155</v>
      </c>
    </row>
    <row r="100" spans="1:5" ht="14.25">
      <c r="A100" s="36" t="s">
        <v>649</v>
      </c>
      <c r="B100" s="1" t="s">
        <v>376</v>
      </c>
      <c r="C100" s="1" t="s">
        <v>171</v>
      </c>
      <c r="D100" s="1" t="s">
        <v>2112</v>
      </c>
      <c r="E100" s="37" t="s">
        <v>2113</v>
      </c>
    </row>
    <row r="101" spans="1:5" ht="14.25">
      <c r="A101" s="36" t="s">
        <v>291</v>
      </c>
      <c r="B101" s="1" t="s">
        <v>376</v>
      </c>
      <c r="C101" s="1" t="s">
        <v>173</v>
      </c>
      <c r="D101" s="1" t="s">
        <v>2114</v>
      </c>
      <c r="E101" s="37" t="s">
        <v>2115</v>
      </c>
    </row>
    <row r="103" spans="1:2" ht="15.75">
      <c r="A103" s="33" t="s">
        <v>165</v>
      </c>
      <c r="B103" s="34"/>
    </row>
    <row r="104" spans="1:5" ht="15.75">
      <c r="A104" s="35" t="s">
        <v>1</v>
      </c>
      <c r="B104" s="35" t="s">
        <v>153</v>
      </c>
      <c r="C104" s="35" t="s">
        <v>154</v>
      </c>
      <c r="D104" s="35" t="s">
        <v>7</v>
      </c>
      <c r="E104" s="35" t="s">
        <v>155</v>
      </c>
    </row>
    <row r="105" spans="1:5" ht="14.25">
      <c r="A105" s="36" t="s">
        <v>225</v>
      </c>
      <c r="B105" s="1" t="s">
        <v>166</v>
      </c>
      <c r="C105" s="1" t="s">
        <v>171</v>
      </c>
      <c r="D105" s="1" t="s">
        <v>2116</v>
      </c>
      <c r="E105" s="37" t="s">
        <v>2117</v>
      </c>
    </row>
    <row r="106" spans="1:5" ht="14.25">
      <c r="A106" s="36" t="s">
        <v>2052</v>
      </c>
      <c r="B106" s="1" t="s">
        <v>166</v>
      </c>
      <c r="C106" s="1" t="s">
        <v>171</v>
      </c>
      <c r="D106" s="1" t="s">
        <v>2118</v>
      </c>
      <c r="E106" s="37" t="s">
        <v>2119</v>
      </c>
    </row>
    <row r="107" spans="1:5" ht="14.25">
      <c r="A107" s="36" t="s">
        <v>2055</v>
      </c>
      <c r="B107" s="1" t="s">
        <v>166</v>
      </c>
      <c r="C107" s="1" t="s">
        <v>171</v>
      </c>
      <c r="D107" s="1" t="s">
        <v>2120</v>
      </c>
      <c r="E107" s="37" t="s">
        <v>2121</v>
      </c>
    </row>
    <row r="108" spans="1:5" ht="14.25">
      <c r="A108" s="36" t="s">
        <v>778</v>
      </c>
      <c r="B108" s="1" t="s">
        <v>166</v>
      </c>
      <c r="C108" s="1" t="s">
        <v>173</v>
      </c>
      <c r="D108" s="1" t="s">
        <v>2122</v>
      </c>
      <c r="E108" s="37" t="s">
        <v>2123</v>
      </c>
    </row>
    <row r="110" spans="1:2" ht="15.75">
      <c r="A110" s="33" t="s">
        <v>152</v>
      </c>
      <c r="B110" s="34"/>
    </row>
    <row r="111" spans="1:5" ht="15.75">
      <c r="A111" s="35" t="s">
        <v>1</v>
      </c>
      <c r="B111" s="35" t="s">
        <v>153</v>
      </c>
      <c r="C111" s="35" t="s">
        <v>154</v>
      </c>
      <c r="D111" s="35" t="s">
        <v>7</v>
      </c>
      <c r="E111" s="35" t="s">
        <v>155</v>
      </c>
    </row>
    <row r="112" spans="1:5" ht="14.25">
      <c r="A112" s="36" t="s">
        <v>2041</v>
      </c>
      <c r="B112" s="1" t="s">
        <v>152</v>
      </c>
      <c r="C112" s="1" t="s">
        <v>156</v>
      </c>
      <c r="D112" s="1" t="s">
        <v>2124</v>
      </c>
      <c r="E112" s="37" t="s">
        <v>2125</v>
      </c>
    </row>
    <row r="113" spans="1:5" ht="14.25">
      <c r="A113" s="36" t="s">
        <v>621</v>
      </c>
      <c r="B113" s="1" t="s">
        <v>152</v>
      </c>
      <c r="C113" s="1" t="s">
        <v>156</v>
      </c>
      <c r="D113" s="1" t="s">
        <v>2126</v>
      </c>
      <c r="E113" s="37" t="s">
        <v>2127</v>
      </c>
    </row>
    <row r="114" spans="1:5" ht="14.25">
      <c r="A114" s="36" t="s">
        <v>2034</v>
      </c>
      <c r="B114" s="1" t="s">
        <v>152</v>
      </c>
      <c r="C114" s="1" t="s">
        <v>158</v>
      </c>
      <c r="D114" s="1" t="s">
        <v>2128</v>
      </c>
      <c r="E114" s="37" t="s">
        <v>2129</v>
      </c>
    </row>
    <row r="115" spans="1:5" ht="14.25">
      <c r="A115" s="36" t="s">
        <v>2069</v>
      </c>
      <c r="B115" s="1" t="s">
        <v>152</v>
      </c>
      <c r="C115" s="1" t="s">
        <v>167</v>
      </c>
      <c r="D115" s="1" t="s">
        <v>2130</v>
      </c>
      <c r="E115" s="37" t="s">
        <v>2131</v>
      </c>
    </row>
    <row r="116" spans="1:5" ht="14.25">
      <c r="A116" s="36" t="s">
        <v>2079</v>
      </c>
      <c r="B116" s="1" t="s">
        <v>152</v>
      </c>
      <c r="C116" s="1" t="s">
        <v>173</v>
      </c>
      <c r="D116" s="1" t="s">
        <v>2132</v>
      </c>
      <c r="E116" s="37" t="s">
        <v>2133</v>
      </c>
    </row>
    <row r="117" spans="1:5" ht="14.25">
      <c r="A117" s="36" t="s">
        <v>2088</v>
      </c>
      <c r="B117" s="1" t="s">
        <v>152</v>
      </c>
      <c r="C117" s="1" t="s">
        <v>169</v>
      </c>
      <c r="D117" s="1" t="s">
        <v>2134</v>
      </c>
      <c r="E117" s="37" t="s">
        <v>2135</v>
      </c>
    </row>
    <row r="118" spans="1:5" ht="14.25">
      <c r="A118" s="36" t="s">
        <v>2044</v>
      </c>
      <c r="B118" s="1" t="s">
        <v>152</v>
      </c>
      <c r="C118" s="1" t="s">
        <v>156</v>
      </c>
      <c r="D118" s="1" t="s">
        <v>2136</v>
      </c>
      <c r="E118" s="37" t="s">
        <v>2137</v>
      </c>
    </row>
    <row r="119" spans="1:5" ht="14.25">
      <c r="A119" s="36" t="s">
        <v>2082</v>
      </c>
      <c r="B119" s="1" t="s">
        <v>152</v>
      </c>
      <c r="C119" s="1" t="s">
        <v>173</v>
      </c>
      <c r="D119" s="1" t="s">
        <v>2138</v>
      </c>
      <c r="E119" s="37" t="s">
        <v>2139</v>
      </c>
    </row>
    <row r="120" spans="1:5" ht="14.25">
      <c r="A120" s="36" t="s">
        <v>2085</v>
      </c>
      <c r="B120" s="1" t="s">
        <v>152</v>
      </c>
      <c r="C120" s="1" t="s">
        <v>173</v>
      </c>
      <c r="D120" s="1" t="s">
        <v>2140</v>
      </c>
      <c r="E120" s="37" t="s">
        <v>2141</v>
      </c>
    </row>
    <row r="121" spans="1:5" ht="14.25">
      <c r="A121" s="36" t="s">
        <v>2037</v>
      </c>
      <c r="B121" s="1" t="s">
        <v>152</v>
      </c>
      <c r="C121" s="1" t="s">
        <v>158</v>
      </c>
      <c r="D121" s="1" t="s">
        <v>2142</v>
      </c>
      <c r="E121" s="37" t="s">
        <v>2143</v>
      </c>
    </row>
    <row r="122" spans="1:5" ht="14.25">
      <c r="A122" s="36" t="s">
        <v>1010</v>
      </c>
      <c r="B122" s="1" t="s">
        <v>152</v>
      </c>
      <c r="C122" s="1" t="s">
        <v>158</v>
      </c>
      <c r="D122" s="1" t="s">
        <v>2144</v>
      </c>
      <c r="E122" s="37" t="s">
        <v>2145</v>
      </c>
    </row>
    <row r="123" spans="1:5" ht="14.25">
      <c r="A123" s="36" t="s">
        <v>2091</v>
      </c>
      <c r="B123" s="1" t="s">
        <v>152</v>
      </c>
      <c r="C123" s="1" t="s">
        <v>169</v>
      </c>
      <c r="D123" s="1" t="s">
        <v>2146</v>
      </c>
      <c r="E123" s="37" t="s">
        <v>2147</v>
      </c>
    </row>
    <row r="124" spans="1:5" ht="14.25">
      <c r="A124" s="36" t="s">
        <v>2094</v>
      </c>
      <c r="B124" s="1" t="s">
        <v>152</v>
      </c>
      <c r="C124" s="1" t="s">
        <v>169</v>
      </c>
      <c r="D124" s="1" t="s">
        <v>2148</v>
      </c>
      <c r="E124" s="37" t="s">
        <v>2149</v>
      </c>
    </row>
    <row r="125" spans="1:5" ht="14.25">
      <c r="A125" s="36" t="s">
        <v>2057</v>
      </c>
      <c r="B125" s="1" t="s">
        <v>152</v>
      </c>
      <c r="C125" s="1" t="s">
        <v>171</v>
      </c>
      <c r="D125" s="1" t="s">
        <v>2150</v>
      </c>
      <c r="E125" s="37" t="s">
        <v>2151</v>
      </c>
    </row>
    <row r="126" spans="1:5" ht="14.25">
      <c r="A126" s="36" t="s">
        <v>708</v>
      </c>
      <c r="B126" s="1" t="s">
        <v>152</v>
      </c>
      <c r="C126" s="1" t="s">
        <v>181</v>
      </c>
      <c r="D126" s="1" t="s">
        <v>2152</v>
      </c>
      <c r="E126" s="37" t="s">
        <v>2153</v>
      </c>
    </row>
    <row r="127" spans="1:5" ht="14.25">
      <c r="A127" s="36" t="s">
        <v>359</v>
      </c>
      <c r="B127" s="1" t="s">
        <v>152</v>
      </c>
      <c r="C127" s="1" t="s">
        <v>194</v>
      </c>
      <c r="D127" s="1" t="s">
        <v>2154</v>
      </c>
      <c r="E127" s="37" t="s">
        <v>2155</v>
      </c>
    </row>
    <row r="129" spans="1:2" ht="15.75">
      <c r="A129" s="33" t="s">
        <v>160</v>
      </c>
      <c r="B129" s="34"/>
    </row>
    <row r="130" spans="1:5" ht="15.75">
      <c r="A130" s="35" t="s">
        <v>1</v>
      </c>
      <c r="B130" s="35" t="s">
        <v>153</v>
      </c>
      <c r="C130" s="35" t="s">
        <v>154</v>
      </c>
      <c r="D130" s="35" t="s">
        <v>7</v>
      </c>
      <c r="E130" s="35" t="s">
        <v>155</v>
      </c>
    </row>
    <row r="131" spans="1:5" ht="14.25">
      <c r="A131" s="36" t="s">
        <v>738</v>
      </c>
      <c r="B131" s="1" t="s">
        <v>190</v>
      </c>
      <c r="C131" s="1" t="s">
        <v>181</v>
      </c>
      <c r="D131" s="1" t="s">
        <v>2156</v>
      </c>
      <c r="E131" s="37" t="s">
        <v>2157</v>
      </c>
    </row>
    <row r="132" spans="1:5" ht="14.25">
      <c r="A132" s="36" t="s">
        <v>2088</v>
      </c>
      <c r="B132" s="1" t="s">
        <v>399</v>
      </c>
      <c r="C132" s="1" t="s">
        <v>169</v>
      </c>
      <c r="D132" s="1" t="s">
        <v>2134</v>
      </c>
      <c r="E132" s="37" t="s">
        <v>2158</v>
      </c>
    </row>
    <row r="133" spans="1:5" ht="14.25">
      <c r="A133" s="36" t="s">
        <v>2072</v>
      </c>
      <c r="B133" s="1" t="s">
        <v>399</v>
      </c>
      <c r="C133" s="1" t="s">
        <v>167</v>
      </c>
      <c r="D133" s="1" t="s">
        <v>2159</v>
      </c>
      <c r="E133" s="37" t="s">
        <v>2160</v>
      </c>
    </row>
    <row r="134" spans="1:5" ht="14.25">
      <c r="A134" s="36" t="s">
        <v>2060</v>
      </c>
      <c r="B134" s="1" t="s">
        <v>399</v>
      </c>
      <c r="C134" s="1" t="s">
        <v>171</v>
      </c>
      <c r="D134" s="1" t="s">
        <v>2161</v>
      </c>
      <c r="E134" s="37" t="s">
        <v>2162</v>
      </c>
    </row>
    <row r="135" spans="1:5" ht="14.25">
      <c r="A135" s="36" t="s">
        <v>2103</v>
      </c>
      <c r="B135" s="1" t="s">
        <v>399</v>
      </c>
      <c r="C135" s="1" t="s">
        <v>175</v>
      </c>
      <c r="D135" s="1" t="s">
        <v>2163</v>
      </c>
      <c r="E135" s="37" t="s">
        <v>2164</v>
      </c>
    </row>
    <row r="136" spans="1:5" ht="14.25">
      <c r="A136" s="36" t="s">
        <v>1235</v>
      </c>
      <c r="B136" s="1" t="s">
        <v>190</v>
      </c>
      <c r="C136" s="1" t="s">
        <v>181</v>
      </c>
      <c r="D136" s="1" t="s">
        <v>2165</v>
      </c>
      <c r="E136" s="37" t="s">
        <v>2166</v>
      </c>
    </row>
    <row r="137" spans="1:5" ht="14.25">
      <c r="A137" s="36" t="s">
        <v>2063</v>
      </c>
      <c r="B137" s="1" t="s">
        <v>399</v>
      </c>
      <c r="C137" s="1" t="s">
        <v>171</v>
      </c>
      <c r="D137" s="1" t="s">
        <v>2167</v>
      </c>
      <c r="E137" s="37" t="s">
        <v>2168</v>
      </c>
    </row>
    <row r="138" spans="1:5" ht="14.25">
      <c r="A138" s="36" t="s">
        <v>799</v>
      </c>
      <c r="B138" s="1" t="s">
        <v>399</v>
      </c>
      <c r="C138" s="1" t="s">
        <v>173</v>
      </c>
      <c r="D138" s="1" t="s">
        <v>2169</v>
      </c>
      <c r="E138" s="37" t="s">
        <v>2170</v>
      </c>
    </row>
    <row r="139" spans="1:5" ht="14.25">
      <c r="A139" s="36" t="s">
        <v>2074</v>
      </c>
      <c r="B139" s="1" t="s">
        <v>188</v>
      </c>
      <c r="C139" s="1" t="s">
        <v>167</v>
      </c>
      <c r="D139" s="1" t="s">
        <v>2171</v>
      </c>
      <c r="E139" s="37" t="s">
        <v>2172</v>
      </c>
    </row>
    <row r="140" spans="1:5" ht="14.25">
      <c r="A140" s="36" t="s">
        <v>756</v>
      </c>
      <c r="B140" s="1" t="s">
        <v>399</v>
      </c>
      <c r="C140" s="1" t="s">
        <v>167</v>
      </c>
      <c r="D140" s="1" t="s">
        <v>2173</v>
      </c>
      <c r="E140" s="37" t="s">
        <v>2174</v>
      </c>
    </row>
    <row r="141" spans="1:5" ht="14.25">
      <c r="A141" s="36" t="s">
        <v>883</v>
      </c>
      <c r="B141" s="1" t="s">
        <v>399</v>
      </c>
      <c r="C141" s="1" t="s">
        <v>175</v>
      </c>
      <c r="D141" s="1" t="s">
        <v>2175</v>
      </c>
      <c r="E141" s="37" t="s">
        <v>2176</v>
      </c>
    </row>
    <row r="142" spans="1:5" ht="14.25">
      <c r="A142" s="36" t="s">
        <v>639</v>
      </c>
      <c r="B142" s="1" t="s">
        <v>186</v>
      </c>
      <c r="C142" s="1" t="s">
        <v>156</v>
      </c>
      <c r="D142" s="1" t="s">
        <v>2177</v>
      </c>
      <c r="E142" s="37" t="s">
        <v>2178</v>
      </c>
    </row>
    <row r="143" spans="1:5" ht="14.25">
      <c r="A143" s="36" t="s">
        <v>112</v>
      </c>
      <c r="B143" s="1" t="s">
        <v>188</v>
      </c>
      <c r="C143" s="1" t="s">
        <v>173</v>
      </c>
      <c r="D143" s="1" t="s">
        <v>2179</v>
      </c>
      <c r="E143" s="37" t="s">
        <v>2180</v>
      </c>
    </row>
    <row r="144" spans="1:5" ht="14.25">
      <c r="A144" s="36" t="s">
        <v>734</v>
      </c>
      <c r="B144" s="1" t="s">
        <v>161</v>
      </c>
      <c r="C144" s="1" t="s">
        <v>181</v>
      </c>
      <c r="D144" s="1" t="s">
        <v>2181</v>
      </c>
      <c r="E144" s="37" t="s">
        <v>2182</v>
      </c>
    </row>
    <row r="145" spans="1:5" ht="14.25">
      <c r="A145" s="36" t="s">
        <v>2098</v>
      </c>
      <c r="B145" s="1" t="s">
        <v>188</v>
      </c>
      <c r="C145" s="1" t="s">
        <v>169</v>
      </c>
      <c r="D145" s="1" t="s">
        <v>2165</v>
      </c>
      <c r="E145" s="37" t="s">
        <v>2183</v>
      </c>
    </row>
    <row r="146" spans="1:5" ht="14.25">
      <c r="A146" s="36" t="s">
        <v>675</v>
      </c>
      <c r="B146" s="1" t="s">
        <v>192</v>
      </c>
      <c r="C146" s="1" t="s">
        <v>171</v>
      </c>
      <c r="D146" s="1" t="s">
        <v>2184</v>
      </c>
      <c r="E146" s="37" t="s">
        <v>2185</v>
      </c>
    </row>
    <row r="147" spans="1:5" ht="14.25">
      <c r="A147" s="36" t="s">
        <v>2094</v>
      </c>
      <c r="B147" s="1" t="s">
        <v>188</v>
      </c>
      <c r="C147" s="1" t="s">
        <v>169</v>
      </c>
      <c r="D147" s="1" t="s">
        <v>2148</v>
      </c>
      <c r="E147" s="37" t="s">
        <v>2186</v>
      </c>
    </row>
    <row r="148" spans="1:5" ht="14.25">
      <c r="A148" s="36" t="s">
        <v>673</v>
      </c>
      <c r="B148" s="1" t="s">
        <v>188</v>
      </c>
      <c r="C148" s="1" t="s">
        <v>171</v>
      </c>
      <c r="D148" s="1" t="s">
        <v>2187</v>
      </c>
      <c r="E148" s="37" t="s">
        <v>2188</v>
      </c>
    </row>
    <row r="149" spans="1:5" ht="14.25">
      <c r="A149" s="36" t="s">
        <v>44</v>
      </c>
      <c r="B149" s="1" t="s">
        <v>161</v>
      </c>
      <c r="C149" s="1" t="s">
        <v>156</v>
      </c>
      <c r="D149" s="1" t="s">
        <v>2189</v>
      </c>
      <c r="E149" s="37" t="s">
        <v>2190</v>
      </c>
    </row>
    <row r="150" spans="1:5" ht="14.25">
      <c r="A150" s="36" t="s">
        <v>708</v>
      </c>
      <c r="B150" s="1" t="s">
        <v>399</v>
      </c>
      <c r="C150" s="1" t="s">
        <v>181</v>
      </c>
      <c r="D150" s="1" t="s">
        <v>2152</v>
      </c>
      <c r="E150" s="37" t="s">
        <v>2191</v>
      </c>
    </row>
    <row r="151" spans="1:5" ht="14.25">
      <c r="A151" s="36" t="s">
        <v>771</v>
      </c>
      <c r="B151" s="1" t="s">
        <v>190</v>
      </c>
      <c r="C151" s="1" t="s">
        <v>167</v>
      </c>
      <c r="D151" s="1" t="s">
        <v>2192</v>
      </c>
      <c r="E151" s="37" t="s">
        <v>2193</v>
      </c>
    </row>
  </sheetData>
  <sheetProtection selectLockedCells="1" selectUnlockedCells="1"/>
  <mergeCells count="22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8:K8"/>
    <mergeCell ref="A12:K12"/>
    <mergeCell ref="A15:K15"/>
    <mergeCell ref="A20:K20"/>
    <mergeCell ref="A27:K27"/>
    <mergeCell ref="A38:K38"/>
    <mergeCell ref="A45:K45"/>
    <mergeCell ref="A52:K52"/>
    <mergeCell ref="A61:K61"/>
    <mergeCell ref="A69:K69"/>
    <mergeCell ref="A73:K7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K27" sqref="K27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8" width="5.50390625" style="1" customWidth="1"/>
    <col min="9" max="9" width="4.50390625" style="1" customWidth="1"/>
    <col min="10" max="10" width="6.375" style="2" customWidth="1"/>
    <col min="11" max="11" width="8.50390625" style="1" customWidth="1"/>
    <col min="12" max="12" width="7.125" style="1" customWidth="1"/>
  </cols>
  <sheetData>
    <row r="1" spans="1:12" s="4" customFormat="1" ht="15" customHeight="1">
      <c r="A1" s="3" t="s">
        <v>2194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4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8"/>
      <c r="H3" s="8"/>
      <c r="I3" s="8"/>
      <c r="J3" s="9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9"/>
      <c r="K4" s="7"/>
      <c r="L4" s="10"/>
    </row>
    <row r="5" spans="1:11" ht="16.5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27" t="s">
        <v>2195</v>
      </c>
      <c r="B6" s="27" t="s">
        <v>2196</v>
      </c>
      <c r="C6" s="27" t="s">
        <v>1581</v>
      </c>
      <c r="D6" s="27">
        <f>"0,7484"</f>
        <v>0</v>
      </c>
      <c r="E6" s="27" t="s">
        <v>15</v>
      </c>
      <c r="F6" s="27" t="s">
        <v>35</v>
      </c>
      <c r="G6" s="27" t="s">
        <v>62</v>
      </c>
      <c r="H6" s="27" t="s">
        <v>120</v>
      </c>
      <c r="I6" s="28"/>
      <c r="J6" s="29">
        <v>145</v>
      </c>
      <c r="K6" s="27">
        <f>"108,5180"</f>
        <v>0</v>
      </c>
      <c r="L6" s="27"/>
    </row>
    <row r="8" spans="1:11" ht="16.5">
      <c r="A8" s="23" t="s">
        <v>63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14.25">
      <c r="A9" s="94" t="s">
        <v>2197</v>
      </c>
      <c r="B9" s="94" t="s">
        <v>2198</v>
      </c>
      <c r="C9" s="94" t="s">
        <v>422</v>
      </c>
      <c r="D9" s="94">
        <f aca="true" t="shared" si="0" ref="D9:D10">"0,6145"</f>
        <v>0</v>
      </c>
      <c r="E9" s="94" t="s">
        <v>15</v>
      </c>
      <c r="F9" s="95" t="s">
        <v>87</v>
      </c>
      <c r="G9" s="96" t="s">
        <v>88</v>
      </c>
      <c r="H9" s="95" t="s">
        <v>74</v>
      </c>
      <c r="I9" s="97"/>
      <c r="J9" s="98" t="s">
        <v>725</v>
      </c>
      <c r="K9" s="94" t="s">
        <v>2199</v>
      </c>
      <c r="L9" s="94"/>
    </row>
    <row r="10" spans="1:12" ht="16.5" customHeight="1">
      <c r="A10" s="94" t="s">
        <v>1139</v>
      </c>
      <c r="B10" s="94" t="s">
        <v>2200</v>
      </c>
      <c r="C10" s="94" t="s">
        <v>422</v>
      </c>
      <c r="D10" s="94">
        <f t="shared" si="0"/>
        <v>0</v>
      </c>
      <c r="E10" s="94" t="s">
        <v>536</v>
      </c>
      <c r="F10" s="97"/>
      <c r="G10" s="97"/>
      <c r="H10" s="97"/>
      <c r="I10" s="97"/>
      <c r="J10" s="98">
        <v>0</v>
      </c>
      <c r="K10" s="94">
        <f>"0,0000"</f>
        <v>0</v>
      </c>
      <c r="L10" s="94"/>
    </row>
    <row r="11" spans="1:12" ht="14.25">
      <c r="A11" s="24" t="s">
        <v>2201</v>
      </c>
      <c r="B11" s="24" t="s">
        <v>2202</v>
      </c>
      <c r="C11" s="24" t="s">
        <v>1830</v>
      </c>
      <c r="D11" s="24">
        <f>"0,6966"</f>
        <v>0</v>
      </c>
      <c r="E11" s="24" t="s">
        <v>1859</v>
      </c>
      <c r="F11" s="24" t="s">
        <v>47</v>
      </c>
      <c r="G11" s="24" t="s">
        <v>131</v>
      </c>
      <c r="H11" s="25" t="s">
        <v>87</v>
      </c>
      <c r="I11" s="25"/>
      <c r="J11" s="26">
        <v>190</v>
      </c>
      <c r="K11" s="24">
        <f>"132,3518"</f>
        <v>0</v>
      </c>
      <c r="L11" s="24"/>
    </row>
    <row r="12" spans="1:12" ht="14.25">
      <c r="A12" s="20" t="s">
        <v>2197</v>
      </c>
      <c r="B12" s="20" t="s">
        <v>2203</v>
      </c>
      <c r="C12" s="20" t="s">
        <v>422</v>
      </c>
      <c r="D12" s="20">
        <f>"0,7934"</f>
        <v>0</v>
      </c>
      <c r="E12" s="20" t="s">
        <v>15</v>
      </c>
      <c r="F12" s="20" t="s">
        <v>87</v>
      </c>
      <c r="G12" s="21" t="s">
        <v>88</v>
      </c>
      <c r="H12" s="20" t="s">
        <v>74</v>
      </c>
      <c r="I12" s="21"/>
      <c r="J12" s="22">
        <v>215</v>
      </c>
      <c r="K12" s="20">
        <f>"170,5776"</f>
        <v>0</v>
      </c>
      <c r="L12" s="20"/>
    </row>
    <row r="14" spans="1:11" ht="16.5">
      <c r="A14" s="23" t="s">
        <v>69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2" ht="14.25">
      <c r="A15" s="16" t="s">
        <v>70</v>
      </c>
      <c r="B15" s="16" t="s">
        <v>71</v>
      </c>
      <c r="C15" s="16" t="s">
        <v>278</v>
      </c>
      <c r="D15" s="16">
        <f>"0,5840"</f>
        <v>0</v>
      </c>
      <c r="E15" s="16" t="s">
        <v>15</v>
      </c>
      <c r="F15" s="16" t="s">
        <v>87</v>
      </c>
      <c r="G15" s="16" t="s">
        <v>88</v>
      </c>
      <c r="H15" s="18" t="s">
        <v>74</v>
      </c>
      <c r="I15" s="18"/>
      <c r="J15" s="19">
        <v>210</v>
      </c>
      <c r="K15" s="16">
        <f>"122,6505"</f>
        <v>0</v>
      </c>
      <c r="L15" s="16"/>
    </row>
    <row r="16" spans="1:12" ht="14.25">
      <c r="A16" s="20" t="s">
        <v>80</v>
      </c>
      <c r="B16" s="20" t="s">
        <v>81</v>
      </c>
      <c r="C16" s="20" t="s">
        <v>72</v>
      </c>
      <c r="D16" s="20">
        <f>"0,7693"</f>
        <v>0</v>
      </c>
      <c r="E16" s="20" t="s">
        <v>15</v>
      </c>
      <c r="F16" s="20" t="s">
        <v>74</v>
      </c>
      <c r="G16" s="20" t="s">
        <v>83</v>
      </c>
      <c r="H16" s="20" t="s">
        <v>78</v>
      </c>
      <c r="I16" s="21"/>
      <c r="J16" s="22">
        <v>230</v>
      </c>
      <c r="K16" s="20">
        <f>"176,9484"</f>
        <v>0</v>
      </c>
      <c r="L16" s="20"/>
    </row>
    <row r="18" spans="1:11" ht="16.5">
      <c r="A18" s="23" t="s">
        <v>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2" ht="14.25">
      <c r="A19" s="16" t="s">
        <v>2204</v>
      </c>
      <c r="B19" s="16" t="s">
        <v>2205</v>
      </c>
      <c r="C19" s="16" t="s">
        <v>2206</v>
      </c>
      <c r="D19" s="16">
        <f>"0,5783"</f>
        <v>0</v>
      </c>
      <c r="E19" s="16" t="s">
        <v>15</v>
      </c>
      <c r="F19" s="16" t="s">
        <v>41</v>
      </c>
      <c r="G19" s="16" t="s">
        <v>42</v>
      </c>
      <c r="H19" s="16" t="s">
        <v>68</v>
      </c>
      <c r="I19" s="18"/>
      <c r="J19" s="19">
        <v>260</v>
      </c>
      <c r="K19" s="16">
        <f>"150,3516"</f>
        <v>0</v>
      </c>
      <c r="L19" s="16"/>
    </row>
    <row r="20" spans="1:12" ht="14.25">
      <c r="A20" s="24" t="s">
        <v>2207</v>
      </c>
      <c r="B20" s="24" t="s">
        <v>2208</v>
      </c>
      <c r="C20" s="24" t="s">
        <v>2209</v>
      </c>
      <c r="D20" s="24">
        <f>"0,5974"</f>
        <v>0</v>
      </c>
      <c r="E20" s="24" t="s">
        <v>15</v>
      </c>
      <c r="F20" s="24" t="s">
        <v>54</v>
      </c>
      <c r="G20" s="24" t="s">
        <v>46</v>
      </c>
      <c r="H20" s="25" t="s">
        <v>131</v>
      </c>
      <c r="I20" s="25"/>
      <c r="J20" s="26">
        <v>170</v>
      </c>
      <c r="K20" s="24">
        <f>"101,5602"</f>
        <v>0</v>
      </c>
      <c r="L20" s="24"/>
    </row>
    <row r="21" spans="1:12" ht="14.25">
      <c r="A21" s="20" t="s">
        <v>2210</v>
      </c>
      <c r="B21" s="20" t="s">
        <v>2211</v>
      </c>
      <c r="C21" s="20" t="s">
        <v>1652</v>
      </c>
      <c r="D21" s="20">
        <f>"0,7076"</f>
        <v>0</v>
      </c>
      <c r="E21" s="20" t="s">
        <v>15</v>
      </c>
      <c r="F21" s="20" t="s">
        <v>486</v>
      </c>
      <c r="G21" s="20" t="s">
        <v>47</v>
      </c>
      <c r="H21" s="20" t="s">
        <v>240</v>
      </c>
      <c r="I21" s="21"/>
      <c r="J21" s="22">
        <v>185</v>
      </c>
      <c r="K21" s="20">
        <f>"130,8986"</f>
        <v>0</v>
      </c>
      <c r="L21" s="20"/>
    </row>
    <row r="23" spans="1:11" ht="16.5">
      <c r="A23" s="23" t="s">
        <v>127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2" ht="14.25">
      <c r="A24" s="16" t="s">
        <v>2212</v>
      </c>
      <c r="B24" s="16" t="s">
        <v>2213</v>
      </c>
      <c r="C24" s="16" t="s">
        <v>2214</v>
      </c>
      <c r="D24" s="16">
        <f>"0,5565"</f>
        <v>0</v>
      </c>
      <c r="E24" s="16" t="s">
        <v>15</v>
      </c>
      <c r="F24" s="16" t="s">
        <v>333</v>
      </c>
      <c r="G24" s="16" t="s">
        <v>353</v>
      </c>
      <c r="H24" s="16" t="s">
        <v>298</v>
      </c>
      <c r="I24" s="18"/>
      <c r="J24" s="19">
        <v>315</v>
      </c>
      <c r="K24" s="16">
        <f>"175,2818"</f>
        <v>0</v>
      </c>
      <c r="L24" s="16"/>
    </row>
    <row r="25" spans="1:12" ht="14.25">
      <c r="A25" s="24" t="s">
        <v>2215</v>
      </c>
      <c r="B25" s="24" t="s">
        <v>2216</v>
      </c>
      <c r="C25" s="24" t="s">
        <v>2217</v>
      </c>
      <c r="D25" s="24">
        <f>"0,5531"</f>
        <v>0</v>
      </c>
      <c r="E25" s="24" t="s">
        <v>15</v>
      </c>
      <c r="F25" s="24" t="s">
        <v>316</v>
      </c>
      <c r="G25" s="24" t="s">
        <v>429</v>
      </c>
      <c r="H25" s="24" t="s">
        <v>68</v>
      </c>
      <c r="I25" s="25"/>
      <c r="J25" s="26">
        <v>260</v>
      </c>
      <c r="K25" s="24">
        <f>"143,8190"</f>
        <v>0</v>
      </c>
      <c r="L25" s="24"/>
    </row>
    <row r="26" spans="1:12" ht="14.25">
      <c r="A26" s="24" t="s">
        <v>2218</v>
      </c>
      <c r="B26" s="24" t="s">
        <v>2219</v>
      </c>
      <c r="C26" s="24" t="s">
        <v>828</v>
      </c>
      <c r="D26" s="24">
        <f>"0,5508"</f>
        <v>0</v>
      </c>
      <c r="E26" s="24" t="s">
        <v>15</v>
      </c>
      <c r="F26" s="25" t="s">
        <v>41</v>
      </c>
      <c r="G26" s="25" t="s">
        <v>429</v>
      </c>
      <c r="H26" s="24" t="s">
        <v>429</v>
      </c>
      <c r="I26" s="25"/>
      <c r="J26" s="26">
        <v>245</v>
      </c>
      <c r="K26" s="24">
        <f>"134,9582"</f>
        <v>0</v>
      </c>
      <c r="L26" s="24"/>
    </row>
    <row r="27" spans="1:12" ht="14.25">
      <c r="A27" s="24" t="s">
        <v>2212</v>
      </c>
      <c r="B27" s="24" t="s">
        <v>2220</v>
      </c>
      <c r="C27" s="24" t="s">
        <v>2214</v>
      </c>
      <c r="D27" s="24">
        <f>"0,5804"</f>
        <v>0</v>
      </c>
      <c r="E27" s="24" t="s">
        <v>15</v>
      </c>
      <c r="F27" s="24" t="s">
        <v>333</v>
      </c>
      <c r="G27" s="24" t="s">
        <v>353</v>
      </c>
      <c r="H27" s="24" t="s">
        <v>298</v>
      </c>
      <c r="I27" s="25"/>
      <c r="J27" s="26">
        <v>315</v>
      </c>
      <c r="K27" s="24">
        <f>"182,8189"</f>
        <v>0</v>
      </c>
      <c r="L27" s="24"/>
    </row>
    <row r="28" spans="1:12" ht="14.25">
      <c r="A28" s="24" t="s">
        <v>2215</v>
      </c>
      <c r="B28" s="24" t="s">
        <v>2221</v>
      </c>
      <c r="C28" s="24" t="s">
        <v>2217</v>
      </c>
      <c r="D28" s="24">
        <f>"0,5703"</f>
        <v>0</v>
      </c>
      <c r="E28" s="24" t="s">
        <v>15</v>
      </c>
      <c r="F28" s="24" t="s">
        <v>316</v>
      </c>
      <c r="G28" s="24" t="s">
        <v>429</v>
      </c>
      <c r="H28" s="24" t="s">
        <v>68</v>
      </c>
      <c r="I28" s="25"/>
      <c r="J28" s="26">
        <v>260</v>
      </c>
      <c r="K28" s="24">
        <f>"148,2774"</f>
        <v>0</v>
      </c>
      <c r="L28" s="24"/>
    </row>
    <row r="29" spans="1:12" ht="14.25">
      <c r="A29" s="20" t="s">
        <v>2218</v>
      </c>
      <c r="B29" s="20" t="s">
        <v>2222</v>
      </c>
      <c r="C29" s="20" t="s">
        <v>828</v>
      </c>
      <c r="D29" s="20">
        <f>"0,6225"</f>
        <v>0</v>
      </c>
      <c r="E29" s="20" t="s">
        <v>15</v>
      </c>
      <c r="F29" s="21" t="s">
        <v>41</v>
      </c>
      <c r="G29" s="21" t="s">
        <v>429</v>
      </c>
      <c r="H29" s="20" t="s">
        <v>429</v>
      </c>
      <c r="I29" s="21"/>
      <c r="J29" s="22">
        <v>245</v>
      </c>
      <c r="K29" s="20">
        <f>"152,5028"</f>
        <v>0</v>
      </c>
      <c r="L29" s="20"/>
    </row>
    <row r="31" ht="16.5">
      <c r="E31" s="30" t="s">
        <v>144</v>
      </c>
    </row>
    <row r="32" ht="16.5">
      <c r="E32" s="30" t="s">
        <v>145</v>
      </c>
    </row>
    <row r="33" ht="16.5">
      <c r="E33" s="30" t="s">
        <v>146</v>
      </c>
    </row>
    <row r="34" ht="14.25">
      <c r="E34" s="1" t="s">
        <v>147</v>
      </c>
    </row>
    <row r="35" ht="14.25">
      <c r="E35" s="1" t="s">
        <v>148</v>
      </c>
    </row>
    <row r="36" ht="14.25">
      <c r="E36" s="1" t="s">
        <v>149</v>
      </c>
    </row>
    <row r="39" spans="1:13" ht="18.75">
      <c r="A39" s="31" t="s">
        <v>150</v>
      </c>
      <c r="B39" s="31"/>
      <c r="M39" s="1"/>
    </row>
    <row r="40" spans="1:13" ht="16.5">
      <c r="A40" s="32" t="s">
        <v>164</v>
      </c>
      <c r="B40" s="32"/>
      <c r="M40" s="1"/>
    </row>
    <row r="41" spans="1:13" ht="15.75">
      <c r="A41" s="33" t="s">
        <v>165</v>
      </c>
      <c r="B41" s="34"/>
      <c r="M41" s="1"/>
    </row>
    <row r="42" spans="1:13" ht="15.75">
      <c r="A42" s="35" t="s">
        <v>1</v>
      </c>
      <c r="B42" s="35" t="s">
        <v>153</v>
      </c>
      <c r="C42" s="35" t="s">
        <v>154</v>
      </c>
      <c r="D42" s="35" t="s">
        <v>7</v>
      </c>
      <c r="E42" s="35" t="s">
        <v>155</v>
      </c>
      <c r="M42" s="1"/>
    </row>
    <row r="43" spans="1:13" ht="14.25">
      <c r="A43" s="36" t="s">
        <v>70</v>
      </c>
      <c r="B43" s="1" t="s">
        <v>166</v>
      </c>
      <c r="C43" s="1" t="s">
        <v>167</v>
      </c>
      <c r="D43" s="1" t="s">
        <v>88</v>
      </c>
      <c r="E43" s="37" t="s">
        <v>2223</v>
      </c>
      <c r="M43" s="1"/>
    </row>
    <row r="44" ht="14.25">
      <c r="M44" s="1"/>
    </row>
    <row r="45" spans="1:13" ht="15.75">
      <c r="A45" s="33" t="s">
        <v>152</v>
      </c>
      <c r="B45" s="34"/>
      <c r="M45" s="1"/>
    </row>
    <row r="46" spans="1:13" ht="15.75">
      <c r="A46" s="35" t="s">
        <v>1</v>
      </c>
      <c r="B46" s="35" t="s">
        <v>153</v>
      </c>
      <c r="C46" s="35" t="s">
        <v>154</v>
      </c>
      <c r="D46" s="35" t="s">
        <v>7</v>
      </c>
      <c r="E46" s="35" t="s">
        <v>155</v>
      </c>
      <c r="M46" s="1"/>
    </row>
    <row r="47" spans="1:13" ht="14.25">
      <c r="A47" s="36" t="s">
        <v>2212</v>
      </c>
      <c r="B47" s="1" t="s">
        <v>152</v>
      </c>
      <c r="C47" s="1" t="s">
        <v>169</v>
      </c>
      <c r="D47" s="1" t="s">
        <v>298</v>
      </c>
      <c r="E47" s="37" t="s">
        <v>2224</v>
      </c>
      <c r="M47" s="1"/>
    </row>
    <row r="48" spans="1:13" ht="14.25">
      <c r="A48" s="36" t="s">
        <v>2215</v>
      </c>
      <c r="B48" s="1" t="s">
        <v>152</v>
      </c>
      <c r="C48" s="1" t="s">
        <v>169</v>
      </c>
      <c r="D48" s="1" t="s">
        <v>68</v>
      </c>
      <c r="E48" s="37" t="s">
        <v>2225</v>
      </c>
      <c r="M48" s="1"/>
    </row>
    <row r="49" spans="1:13" ht="14.25">
      <c r="A49" s="36" t="s">
        <v>2218</v>
      </c>
      <c r="B49" s="1" t="s">
        <v>152</v>
      </c>
      <c r="C49" s="1" t="s">
        <v>169</v>
      </c>
      <c r="D49" s="1" t="s">
        <v>429</v>
      </c>
      <c r="E49" s="37" t="s">
        <v>2226</v>
      </c>
      <c r="M49" s="1"/>
    </row>
    <row r="50" spans="1:13" ht="14.25">
      <c r="A50" s="55" t="s">
        <v>2227</v>
      </c>
      <c r="B50" s="1" t="s">
        <v>152</v>
      </c>
      <c r="C50" s="1" t="s">
        <v>181</v>
      </c>
      <c r="D50" s="55" t="s">
        <v>725</v>
      </c>
      <c r="E50" s="39" t="s">
        <v>2199</v>
      </c>
      <c r="M50" s="1"/>
    </row>
    <row r="51" spans="1:13" ht="14.25">
      <c r="A51" s="36" t="s">
        <v>2195</v>
      </c>
      <c r="B51" s="1" t="s">
        <v>152</v>
      </c>
      <c r="C51" s="1" t="s">
        <v>158</v>
      </c>
      <c r="D51" s="1" t="s">
        <v>120</v>
      </c>
      <c r="E51" s="37" t="s">
        <v>2228</v>
      </c>
      <c r="M51" s="1"/>
    </row>
    <row r="52" ht="14.25">
      <c r="M52" s="1"/>
    </row>
    <row r="53" spans="1:13" ht="15.75">
      <c r="A53" s="33" t="s">
        <v>160</v>
      </c>
      <c r="B53" s="34"/>
      <c r="M53" s="1"/>
    </row>
    <row r="54" spans="1:13" ht="15.75">
      <c r="A54" s="35" t="s">
        <v>1</v>
      </c>
      <c r="B54" s="35" t="s">
        <v>153</v>
      </c>
      <c r="C54" s="35" t="s">
        <v>154</v>
      </c>
      <c r="D54" s="35" t="s">
        <v>7</v>
      </c>
      <c r="E54" s="35" t="s">
        <v>155</v>
      </c>
      <c r="M54" s="1"/>
    </row>
    <row r="55" spans="1:13" ht="14.25">
      <c r="A55" s="36" t="s">
        <v>2212</v>
      </c>
      <c r="B55" s="1" t="s">
        <v>399</v>
      </c>
      <c r="C55" s="1" t="s">
        <v>169</v>
      </c>
      <c r="D55" s="1" t="s">
        <v>298</v>
      </c>
      <c r="E55" s="37" t="s">
        <v>2229</v>
      </c>
      <c r="M55" s="1"/>
    </row>
    <row r="56" spans="1:13" ht="14.25">
      <c r="A56" s="36" t="s">
        <v>80</v>
      </c>
      <c r="B56" s="1" t="s">
        <v>190</v>
      </c>
      <c r="C56" s="1" t="s">
        <v>167</v>
      </c>
      <c r="D56" s="1" t="s">
        <v>78</v>
      </c>
      <c r="E56" s="37" t="s">
        <v>2230</v>
      </c>
      <c r="M56" s="1"/>
    </row>
    <row r="57" spans="1:13" ht="14.25">
      <c r="A57" s="36" t="s">
        <v>2197</v>
      </c>
      <c r="B57" s="1" t="s">
        <v>190</v>
      </c>
      <c r="C57" s="1" t="s">
        <v>181</v>
      </c>
      <c r="D57" s="1" t="s">
        <v>74</v>
      </c>
      <c r="E57" s="37" t="s">
        <v>2231</v>
      </c>
      <c r="M57" s="1"/>
    </row>
    <row r="58" spans="1:13" ht="14.25">
      <c r="A58" s="36" t="s">
        <v>2218</v>
      </c>
      <c r="B58" s="1" t="s">
        <v>161</v>
      </c>
      <c r="C58" s="1" t="s">
        <v>169</v>
      </c>
      <c r="D58" s="1" t="s">
        <v>429</v>
      </c>
      <c r="E58" s="37" t="s">
        <v>2232</v>
      </c>
      <c r="M58" s="1"/>
    </row>
    <row r="59" spans="1:13" ht="14.25">
      <c r="A59" s="36" t="s">
        <v>2204</v>
      </c>
      <c r="B59" s="1" t="s">
        <v>399</v>
      </c>
      <c r="C59" s="1" t="s">
        <v>173</v>
      </c>
      <c r="D59" s="1" t="s">
        <v>68</v>
      </c>
      <c r="E59" s="37" t="s">
        <v>2233</v>
      </c>
      <c r="M59" s="1"/>
    </row>
    <row r="60" spans="1:13" ht="14.25">
      <c r="A60" s="36" t="s">
        <v>2215</v>
      </c>
      <c r="B60" s="1" t="s">
        <v>399</v>
      </c>
      <c r="C60" s="1" t="s">
        <v>169</v>
      </c>
      <c r="D60" s="1" t="s">
        <v>68</v>
      </c>
      <c r="E60" s="37" t="s">
        <v>2234</v>
      </c>
      <c r="M60" s="1"/>
    </row>
    <row r="61" spans="1:13" ht="14.25">
      <c r="A61" s="36" t="s">
        <v>2201</v>
      </c>
      <c r="B61" s="1" t="s">
        <v>161</v>
      </c>
      <c r="C61" s="1" t="s">
        <v>181</v>
      </c>
      <c r="D61" s="1" t="s">
        <v>131</v>
      </c>
      <c r="E61" s="37" t="s">
        <v>2235</v>
      </c>
      <c r="M61" s="1"/>
    </row>
    <row r="62" spans="1:13" ht="14.25">
      <c r="A62" s="36" t="s">
        <v>2210</v>
      </c>
      <c r="B62" s="1" t="s">
        <v>190</v>
      </c>
      <c r="C62" s="1" t="s">
        <v>173</v>
      </c>
      <c r="D62" s="1" t="s">
        <v>240</v>
      </c>
      <c r="E62" s="37" t="s">
        <v>2236</v>
      </c>
      <c r="M62" s="1"/>
    </row>
    <row r="63" spans="1:13" ht="14.25">
      <c r="A63" s="36" t="s">
        <v>2207</v>
      </c>
      <c r="B63" s="1" t="s">
        <v>399</v>
      </c>
      <c r="C63" s="1" t="s">
        <v>173</v>
      </c>
      <c r="D63" s="1" t="s">
        <v>46</v>
      </c>
      <c r="E63" s="37" t="s">
        <v>2237</v>
      </c>
      <c r="M63" s="1"/>
    </row>
  </sheetData>
  <sheetProtection selectLockedCells="1" selectUnlockedCells="1"/>
  <mergeCells count="15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8:K8"/>
    <mergeCell ref="A14:K14"/>
    <mergeCell ref="A18:K18"/>
    <mergeCell ref="A23:K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J1" sqref="J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6.375" style="1" customWidth="1"/>
    <col min="7" max="8" width="5.50390625" style="1" customWidth="1"/>
    <col min="9" max="9" width="4.50390625" style="1" customWidth="1"/>
    <col min="10" max="10" width="6.375" style="37" customWidth="1"/>
    <col min="11" max="11" width="8.50390625" style="1" customWidth="1"/>
    <col min="12" max="12" width="7.125" style="1" customWidth="1"/>
  </cols>
  <sheetData>
    <row r="1" spans="1:12" s="4" customFormat="1" ht="15" customHeight="1">
      <c r="A1" s="3" t="s">
        <v>2238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4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8"/>
      <c r="H3" s="8"/>
      <c r="I3" s="8"/>
      <c r="J3" s="40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40"/>
      <c r="K4" s="7"/>
      <c r="L4" s="10"/>
    </row>
    <row r="5" spans="1:11" ht="16.5">
      <c r="A5" s="15" t="s">
        <v>69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27" t="s">
        <v>80</v>
      </c>
      <c r="B6" s="27" t="s">
        <v>81</v>
      </c>
      <c r="C6" s="27" t="s">
        <v>72</v>
      </c>
      <c r="D6" s="27">
        <f>"0,7693"</f>
        <v>0</v>
      </c>
      <c r="E6" s="27" t="s">
        <v>15</v>
      </c>
      <c r="F6" s="27" t="s">
        <v>83</v>
      </c>
      <c r="G6" s="27" t="s">
        <v>78</v>
      </c>
      <c r="H6" s="28"/>
      <c r="I6" s="28"/>
      <c r="J6" s="41">
        <v>230</v>
      </c>
      <c r="K6" s="27">
        <f>"176,9484"</f>
        <v>0</v>
      </c>
      <c r="L6" s="27"/>
    </row>
    <row r="8" ht="16.5">
      <c r="E8" s="30" t="s">
        <v>144</v>
      </c>
    </row>
    <row r="9" ht="16.5">
      <c r="E9" s="30" t="s">
        <v>145</v>
      </c>
    </row>
    <row r="10" ht="16.5">
      <c r="E10" s="30" t="s">
        <v>146</v>
      </c>
    </row>
    <row r="11" ht="14.25">
      <c r="E11" s="1" t="s">
        <v>147</v>
      </c>
    </row>
    <row r="12" ht="14.25">
      <c r="E12" s="1" t="s">
        <v>148</v>
      </c>
    </row>
    <row r="13" ht="14.25">
      <c r="E13" s="1" t="s">
        <v>149</v>
      </c>
    </row>
    <row r="16" spans="1:2" ht="18.75">
      <c r="A16" s="31" t="s">
        <v>150</v>
      </c>
      <c r="B16" s="31"/>
    </row>
    <row r="17" spans="1:2" ht="16.5">
      <c r="A17" s="32" t="s">
        <v>164</v>
      </c>
      <c r="B17" s="32"/>
    </row>
    <row r="18" spans="1:2" ht="15.75">
      <c r="A18" s="33" t="s">
        <v>160</v>
      </c>
      <c r="B18" s="34"/>
    </row>
    <row r="19" spans="1:5" ht="15.75">
      <c r="A19" s="35" t="s">
        <v>1</v>
      </c>
      <c r="B19" s="35" t="s">
        <v>153</v>
      </c>
      <c r="C19" s="35" t="s">
        <v>154</v>
      </c>
      <c r="D19" s="35" t="s">
        <v>7</v>
      </c>
      <c r="E19" s="35" t="s">
        <v>155</v>
      </c>
    </row>
    <row r="20" spans="1:5" ht="14.25">
      <c r="A20" s="36" t="s">
        <v>80</v>
      </c>
      <c r="B20" s="1" t="s">
        <v>190</v>
      </c>
      <c r="C20" s="1" t="s">
        <v>167</v>
      </c>
      <c r="D20" s="1" t="s">
        <v>78</v>
      </c>
      <c r="E20" s="37" t="s">
        <v>2230</v>
      </c>
    </row>
  </sheetData>
  <sheetProtection selectLockedCells="1" selectUnlockedCells="1"/>
  <mergeCells count="11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J1" sqref="J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8" width="5.50390625" style="1" customWidth="1"/>
    <col min="9" max="9" width="4.50390625" style="1" customWidth="1"/>
    <col min="10" max="10" width="6.375" style="2" customWidth="1"/>
    <col min="11" max="11" width="8.50390625" style="1" customWidth="1"/>
    <col min="12" max="12" width="7.125" style="1" customWidth="1"/>
  </cols>
  <sheetData>
    <row r="1" spans="1:12" s="4" customFormat="1" ht="15" customHeight="1">
      <c r="A1" s="3" t="s">
        <v>2239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4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8"/>
      <c r="H3" s="8"/>
      <c r="I3" s="8"/>
      <c r="J3" s="9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9"/>
      <c r="K4" s="7"/>
      <c r="L4" s="10"/>
    </row>
    <row r="5" spans="1:11" ht="16.5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27" t="s">
        <v>2240</v>
      </c>
      <c r="B6" s="27" t="s">
        <v>2241</v>
      </c>
      <c r="C6" s="27" t="s">
        <v>2242</v>
      </c>
      <c r="D6" s="27">
        <f>"0,8122"</f>
        <v>0</v>
      </c>
      <c r="E6" s="27" t="s">
        <v>15</v>
      </c>
      <c r="F6" s="27" t="s">
        <v>527</v>
      </c>
      <c r="G6" s="28" t="s">
        <v>22</v>
      </c>
      <c r="H6" s="28" t="s">
        <v>23</v>
      </c>
      <c r="I6" s="28"/>
      <c r="J6" s="29">
        <v>80</v>
      </c>
      <c r="K6" s="27">
        <f>"64,9760"</f>
        <v>0</v>
      </c>
      <c r="L6" s="27"/>
    </row>
    <row r="8" spans="1:11" ht="16.5">
      <c r="A8" s="23" t="s">
        <v>25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14.25">
      <c r="A9" s="16" t="s">
        <v>2243</v>
      </c>
      <c r="B9" s="16" t="s">
        <v>2244</v>
      </c>
      <c r="C9" s="16" t="s">
        <v>2245</v>
      </c>
      <c r="D9" s="16">
        <f>"0,7375"</f>
        <v>0</v>
      </c>
      <c r="E9" s="16" t="s">
        <v>536</v>
      </c>
      <c r="F9" s="16" t="s">
        <v>22</v>
      </c>
      <c r="G9" s="18" t="s">
        <v>516</v>
      </c>
      <c r="H9" s="18" t="s">
        <v>516</v>
      </c>
      <c r="I9" s="18"/>
      <c r="J9" s="19" t="s">
        <v>181</v>
      </c>
      <c r="K9" s="58" t="s">
        <v>2246</v>
      </c>
      <c r="L9" s="16"/>
    </row>
    <row r="10" spans="1:12" ht="14.25">
      <c r="A10" s="20" t="s">
        <v>2247</v>
      </c>
      <c r="B10" s="20" t="s">
        <v>2248</v>
      </c>
      <c r="C10" s="20" t="s">
        <v>222</v>
      </c>
      <c r="D10" s="20">
        <f>"0,6934"</f>
        <v>0</v>
      </c>
      <c r="E10" s="20" t="s">
        <v>15</v>
      </c>
      <c r="F10" s="20" t="s">
        <v>54</v>
      </c>
      <c r="G10" s="20" t="s">
        <v>1347</v>
      </c>
      <c r="H10" s="21" t="s">
        <v>46</v>
      </c>
      <c r="I10" s="21"/>
      <c r="J10" s="22">
        <v>157.5</v>
      </c>
      <c r="K10" s="20">
        <f>"109,2026"</f>
        <v>0</v>
      </c>
      <c r="L10" s="20"/>
    </row>
    <row r="12" spans="1:11" ht="16.5">
      <c r="A12" s="23" t="s">
        <v>49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2" ht="14.25">
      <c r="A13" s="27" t="s">
        <v>2249</v>
      </c>
      <c r="B13" s="27" t="s">
        <v>2250</v>
      </c>
      <c r="C13" s="27" t="s">
        <v>2251</v>
      </c>
      <c r="D13" s="27">
        <f>"0,6664"</f>
        <v>0</v>
      </c>
      <c r="E13" s="27" t="s">
        <v>15</v>
      </c>
      <c r="F13" s="27" t="s">
        <v>17</v>
      </c>
      <c r="G13" s="27" t="s">
        <v>35</v>
      </c>
      <c r="H13" s="28" t="s">
        <v>206</v>
      </c>
      <c r="I13" s="28"/>
      <c r="J13" s="29">
        <v>125</v>
      </c>
      <c r="K13" s="27">
        <f>"83,3000"</f>
        <v>0</v>
      </c>
      <c r="L13" s="27"/>
    </row>
    <row r="15" spans="1:11" ht="16.5">
      <c r="A15" s="23" t="s">
        <v>69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2" ht="14.25">
      <c r="A16" s="16" t="s">
        <v>2252</v>
      </c>
      <c r="B16" s="16" t="s">
        <v>2253</v>
      </c>
      <c r="C16" s="16" t="s">
        <v>1077</v>
      </c>
      <c r="D16" s="16">
        <f>"0,5935"</f>
        <v>0</v>
      </c>
      <c r="E16" s="16" t="s">
        <v>15</v>
      </c>
      <c r="F16" s="16" t="s">
        <v>17</v>
      </c>
      <c r="G16" s="16" t="s">
        <v>35</v>
      </c>
      <c r="H16" s="18" t="s">
        <v>36</v>
      </c>
      <c r="I16" s="18"/>
      <c r="J16" s="19">
        <v>125</v>
      </c>
      <c r="K16" s="16">
        <f>"74,1813"</f>
        <v>0</v>
      </c>
      <c r="L16" s="16"/>
    </row>
    <row r="17" spans="1:12" ht="14.25">
      <c r="A17" s="24" t="s">
        <v>2254</v>
      </c>
      <c r="B17" s="24" t="s">
        <v>2255</v>
      </c>
      <c r="C17" s="24" t="s">
        <v>2256</v>
      </c>
      <c r="D17" s="24">
        <f>"0,6041"</f>
        <v>0</v>
      </c>
      <c r="E17" s="24" t="s">
        <v>15</v>
      </c>
      <c r="F17" s="24" t="s">
        <v>41</v>
      </c>
      <c r="G17" s="24" t="s">
        <v>1251</v>
      </c>
      <c r="H17" s="24" t="s">
        <v>337</v>
      </c>
      <c r="I17" s="25"/>
      <c r="J17" s="26">
        <v>255</v>
      </c>
      <c r="K17" s="24">
        <f>"154,0582"</f>
        <v>0</v>
      </c>
      <c r="L17" s="24"/>
    </row>
    <row r="18" spans="1:12" ht="14.25">
      <c r="A18" s="24" t="s">
        <v>2257</v>
      </c>
      <c r="B18" s="24" t="s">
        <v>2258</v>
      </c>
      <c r="C18" s="24" t="s">
        <v>1621</v>
      </c>
      <c r="D18" s="24">
        <f>"0,5835"</f>
        <v>0</v>
      </c>
      <c r="E18" s="24" t="s">
        <v>15</v>
      </c>
      <c r="F18" s="25" t="s">
        <v>316</v>
      </c>
      <c r="G18" s="24" t="s">
        <v>316</v>
      </c>
      <c r="H18" s="24" t="s">
        <v>1251</v>
      </c>
      <c r="I18" s="25"/>
      <c r="J18" s="26">
        <v>247.5</v>
      </c>
      <c r="K18" s="24">
        <f>"144,4286"</f>
        <v>0</v>
      </c>
      <c r="L18" s="24"/>
    </row>
    <row r="19" spans="1:12" ht="14.25">
      <c r="A19" s="20" t="s">
        <v>2259</v>
      </c>
      <c r="B19" s="20" t="s">
        <v>2260</v>
      </c>
      <c r="C19" s="20" t="s">
        <v>1632</v>
      </c>
      <c r="D19" s="20">
        <f>"0,5846"</f>
        <v>0</v>
      </c>
      <c r="E19" s="20" t="s">
        <v>58</v>
      </c>
      <c r="F19" s="20" t="s">
        <v>36</v>
      </c>
      <c r="G19" s="21" t="s">
        <v>486</v>
      </c>
      <c r="H19" s="21" t="s">
        <v>349</v>
      </c>
      <c r="I19" s="21"/>
      <c r="J19" s="22">
        <v>140</v>
      </c>
      <c r="K19" s="20">
        <f>"81,8370"</f>
        <v>0</v>
      </c>
      <c r="L19" s="20"/>
    </row>
    <row r="21" spans="1:11" ht="16.5">
      <c r="A21" s="23" t="s">
        <v>127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2" ht="14.25">
      <c r="A22" s="16" t="s">
        <v>2261</v>
      </c>
      <c r="B22" s="16" t="s">
        <v>2262</v>
      </c>
      <c r="C22" s="16" t="s">
        <v>2263</v>
      </c>
      <c r="D22" s="16">
        <f>"0,5502"</f>
        <v>0</v>
      </c>
      <c r="E22" s="16" t="s">
        <v>15</v>
      </c>
      <c r="F22" s="18" t="s">
        <v>88</v>
      </c>
      <c r="G22" s="18" t="s">
        <v>88</v>
      </c>
      <c r="H22" s="18" t="s">
        <v>88</v>
      </c>
      <c r="I22" s="18"/>
      <c r="J22" s="19">
        <v>0</v>
      </c>
      <c r="K22" s="16">
        <f>"0,0000"</f>
        <v>0</v>
      </c>
      <c r="L22" s="16"/>
    </row>
    <row r="23" spans="1:12" ht="14.25">
      <c r="A23" s="20" t="s">
        <v>2264</v>
      </c>
      <c r="B23" s="20" t="s">
        <v>2265</v>
      </c>
      <c r="C23" s="20" t="s">
        <v>1676</v>
      </c>
      <c r="D23" s="20">
        <f>"0,6100"</f>
        <v>0</v>
      </c>
      <c r="E23" s="20" t="s">
        <v>15</v>
      </c>
      <c r="F23" s="20" t="s">
        <v>240</v>
      </c>
      <c r="G23" s="20" t="s">
        <v>87</v>
      </c>
      <c r="H23" s="20" t="s">
        <v>74</v>
      </c>
      <c r="I23" s="21"/>
      <c r="J23" s="22">
        <v>215</v>
      </c>
      <c r="K23" s="20">
        <f>"131,1576"</f>
        <v>0</v>
      </c>
      <c r="L23" s="20"/>
    </row>
    <row r="25" spans="1:11" ht="16.5">
      <c r="A25" s="23" t="s">
        <v>140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2" ht="14.25">
      <c r="A26" s="27" t="s">
        <v>2266</v>
      </c>
      <c r="B26" s="27" t="s">
        <v>2267</v>
      </c>
      <c r="C26" s="27" t="s">
        <v>2268</v>
      </c>
      <c r="D26" s="27">
        <f>"0,6016"</f>
        <v>0</v>
      </c>
      <c r="E26" s="27" t="s">
        <v>15</v>
      </c>
      <c r="F26" s="27" t="s">
        <v>68</v>
      </c>
      <c r="G26" s="27" t="s">
        <v>333</v>
      </c>
      <c r="H26" s="28" t="s">
        <v>104</v>
      </c>
      <c r="I26" s="28"/>
      <c r="J26" s="29">
        <v>280</v>
      </c>
      <c r="K26" s="27">
        <f>"168,4404"</f>
        <v>0</v>
      </c>
      <c r="L26" s="27"/>
    </row>
    <row r="28" ht="16.5">
      <c r="E28" s="30" t="s">
        <v>144</v>
      </c>
    </row>
    <row r="29" ht="16.5">
      <c r="E29" s="30" t="s">
        <v>145</v>
      </c>
    </row>
    <row r="30" ht="16.5">
      <c r="E30" s="30" t="s">
        <v>146</v>
      </c>
    </row>
    <row r="31" ht="14.25">
      <c r="E31" s="1" t="s">
        <v>147</v>
      </c>
    </row>
    <row r="32" ht="14.25">
      <c r="E32" s="1" t="s">
        <v>148</v>
      </c>
    </row>
    <row r="33" ht="14.25">
      <c r="E33" s="1" t="s">
        <v>149</v>
      </c>
    </row>
    <row r="36" spans="1:2" ht="18.75">
      <c r="A36" s="31" t="s">
        <v>150</v>
      </c>
      <c r="B36" s="31"/>
    </row>
    <row r="37" spans="1:2" ht="16.5">
      <c r="A37" s="32" t="s">
        <v>164</v>
      </c>
      <c r="B37" s="32"/>
    </row>
    <row r="38" spans="1:2" ht="15.75">
      <c r="A38" s="33" t="s">
        <v>375</v>
      </c>
      <c r="B38" s="34"/>
    </row>
    <row r="39" spans="1:5" ht="15.75">
      <c r="A39" s="35" t="s">
        <v>1</v>
      </c>
      <c r="B39" s="35" t="s">
        <v>153</v>
      </c>
      <c r="C39" s="35" t="s">
        <v>154</v>
      </c>
      <c r="D39" s="35" t="s">
        <v>7</v>
      </c>
      <c r="E39" s="35" t="s">
        <v>155</v>
      </c>
    </row>
    <row r="40" spans="1:10" ht="14.25">
      <c r="A40" s="36" t="s">
        <v>2243</v>
      </c>
      <c r="B40" s="1" t="s">
        <v>376</v>
      </c>
      <c r="C40" s="1" t="s">
        <v>156</v>
      </c>
      <c r="D40" s="58" t="s">
        <v>22</v>
      </c>
      <c r="E40" s="99" t="s">
        <v>2246</v>
      </c>
      <c r="J40" s="37"/>
    </row>
    <row r="41" spans="1:5" ht="14.25">
      <c r="A41" s="36" t="s">
        <v>2240</v>
      </c>
      <c r="B41" s="1" t="s">
        <v>921</v>
      </c>
      <c r="C41" s="1" t="s">
        <v>158</v>
      </c>
      <c r="D41" s="1" t="s">
        <v>527</v>
      </c>
      <c r="E41" s="37" t="s">
        <v>2269</v>
      </c>
    </row>
    <row r="43" spans="1:2" ht="15.75">
      <c r="A43" s="33" t="s">
        <v>165</v>
      </c>
      <c r="B43" s="34"/>
    </row>
    <row r="44" spans="1:5" ht="15.75">
      <c r="A44" s="35" t="s">
        <v>1</v>
      </c>
      <c r="B44" s="35" t="s">
        <v>153</v>
      </c>
      <c r="C44" s="35" t="s">
        <v>154</v>
      </c>
      <c r="D44" s="35" t="s">
        <v>7</v>
      </c>
      <c r="E44" s="35" t="s">
        <v>155</v>
      </c>
    </row>
    <row r="45" spans="1:5" ht="14.25">
      <c r="A45" s="36" t="s">
        <v>2252</v>
      </c>
      <c r="B45" s="1" t="s">
        <v>166</v>
      </c>
      <c r="C45" s="1" t="s">
        <v>167</v>
      </c>
      <c r="D45" s="1" t="s">
        <v>35</v>
      </c>
      <c r="E45" s="37" t="s">
        <v>2270</v>
      </c>
    </row>
    <row r="47" spans="1:2" ht="15.75">
      <c r="A47" s="33" t="s">
        <v>152</v>
      </c>
      <c r="B47" s="34"/>
    </row>
    <row r="48" spans="1:5" ht="15.75">
      <c r="A48" s="35" t="s">
        <v>1</v>
      </c>
      <c r="B48" s="35" t="s">
        <v>153</v>
      </c>
      <c r="C48" s="35" t="s">
        <v>154</v>
      </c>
      <c r="D48" s="35" t="s">
        <v>7</v>
      </c>
      <c r="E48" s="35" t="s">
        <v>155</v>
      </c>
    </row>
    <row r="49" spans="1:5" ht="14.25">
      <c r="A49" s="36" t="s">
        <v>2254</v>
      </c>
      <c r="B49" s="1" t="s">
        <v>152</v>
      </c>
      <c r="C49" s="1" t="s">
        <v>167</v>
      </c>
      <c r="D49" s="1" t="s">
        <v>337</v>
      </c>
      <c r="E49" s="37" t="s">
        <v>2271</v>
      </c>
    </row>
    <row r="50" spans="1:5" ht="14.25">
      <c r="A50" s="36" t="s">
        <v>2257</v>
      </c>
      <c r="B50" s="1" t="s">
        <v>152</v>
      </c>
      <c r="C50" s="1" t="s">
        <v>167</v>
      </c>
      <c r="D50" s="1" t="s">
        <v>1251</v>
      </c>
      <c r="E50" s="37" t="s">
        <v>2272</v>
      </c>
    </row>
    <row r="51" spans="1:5" ht="14.25">
      <c r="A51" s="36" t="s">
        <v>2249</v>
      </c>
      <c r="B51" s="1" t="s">
        <v>152</v>
      </c>
      <c r="C51" s="1" t="s">
        <v>171</v>
      </c>
      <c r="D51" s="1" t="s">
        <v>35</v>
      </c>
      <c r="E51" s="37" t="s">
        <v>2273</v>
      </c>
    </row>
    <row r="52" spans="1:5" ht="14.25">
      <c r="A52" s="36" t="s">
        <v>2259</v>
      </c>
      <c r="B52" s="1" t="s">
        <v>152</v>
      </c>
      <c r="C52" s="1" t="s">
        <v>167</v>
      </c>
      <c r="D52" s="1" t="s">
        <v>36</v>
      </c>
      <c r="E52" s="37" t="s">
        <v>2274</v>
      </c>
    </row>
    <row r="54" spans="1:2" ht="15.75">
      <c r="A54" s="33" t="s">
        <v>160</v>
      </c>
      <c r="B54" s="34"/>
    </row>
    <row r="55" spans="1:5" ht="15.75">
      <c r="A55" s="35" t="s">
        <v>1</v>
      </c>
      <c r="B55" s="35" t="s">
        <v>153</v>
      </c>
      <c r="C55" s="35" t="s">
        <v>154</v>
      </c>
      <c r="D55" s="35" t="s">
        <v>7</v>
      </c>
      <c r="E55" s="35" t="s">
        <v>155</v>
      </c>
    </row>
    <row r="56" spans="1:5" ht="14.25">
      <c r="A56" s="36" t="s">
        <v>2266</v>
      </c>
      <c r="B56" s="1" t="s">
        <v>161</v>
      </c>
      <c r="C56" s="1" t="s">
        <v>194</v>
      </c>
      <c r="D56" s="1" t="s">
        <v>333</v>
      </c>
      <c r="E56" s="37" t="s">
        <v>2275</v>
      </c>
    </row>
    <row r="57" spans="1:5" ht="14.25">
      <c r="A57" s="36" t="s">
        <v>2264</v>
      </c>
      <c r="B57" s="1" t="s">
        <v>188</v>
      </c>
      <c r="C57" s="1" t="s">
        <v>169</v>
      </c>
      <c r="D57" s="1" t="s">
        <v>74</v>
      </c>
      <c r="E57" s="37" t="s">
        <v>2276</v>
      </c>
    </row>
    <row r="58" spans="1:5" ht="14.25">
      <c r="A58" s="36" t="s">
        <v>2247</v>
      </c>
      <c r="B58" s="1" t="s">
        <v>399</v>
      </c>
      <c r="C58" s="1" t="s">
        <v>156</v>
      </c>
      <c r="D58" s="1" t="s">
        <v>1347</v>
      </c>
      <c r="E58" s="37" t="s">
        <v>2277</v>
      </c>
    </row>
  </sheetData>
  <sheetProtection selectLockedCells="1" selectUnlockedCells="1"/>
  <mergeCells count="16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8:K8"/>
    <mergeCell ref="A12:K12"/>
    <mergeCell ref="A15:K15"/>
    <mergeCell ref="A21:K21"/>
    <mergeCell ref="A25:K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50"/>
  <sheetViews>
    <sheetView workbookViewId="0" topLeftCell="A1">
      <selection activeCell="E98" sqref="E98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8" width="5.50390625" style="1" customWidth="1"/>
    <col min="9" max="9" width="4.50390625" style="1" customWidth="1"/>
    <col min="10" max="10" width="6.375" style="2" customWidth="1"/>
    <col min="11" max="11" width="8.50390625" style="1" customWidth="1"/>
    <col min="12" max="12" width="14.00390625" style="1" customWidth="1"/>
  </cols>
  <sheetData>
    <row r="1" spans="1:12" s="4" customFormat="1" ht="15" customHeight="1">
      <c r="A1" s="3" t="s">
        <v>978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62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8"/>
      <c r="H3" s="8"/>
      <c r="I3" s="8"/>
      <c r="J3" s="9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9"/>
      <c r="K4" s="7"/>
      <c r="L4" s="10"/>
    </row>
    <row r="5" spans="1:11" ht="16.5">
      <c r="A5" s="15" t="s">
        <v>2278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16" t="s">
        <v>2279</v>
      </c>
      <c r="B6" s="16" t="s">
        <v>2280</v>
      </c>
      <c r="C6" s="16" t="s">
        <v>2281</v>
      </c>
      <c r="D6" s="16">
        <f>"1,3437"</f>
        <v>0</v>
      </c>
      <c r="E6" s="16" t="s">
        <v>15</v>
      </c>
      <c r="F6" s="16" t="s">
        <v>2007</v>
      </c>
      <c r="G6" s="16" t="s">
        <v>2008</v>
      </c>
      <c r="H6" s="18" t="s">
        <v>2013</v>
      </c>
      <c r="I6" s="18"/>
      <c r="J6" s="19">
        <v>30</v>
      </c>
      <c r="K6" s="16">
        <f>"40,3110"</f>
        <v>0</v>
      </c>
      <c r="L6" s="16"/>
    </row>
    <row r="7" spans="1:12" ht="14.25">
      <c r="A7" s="20" t="s">
        <v>2282</v>
      </c>
      <c r="B7" s="20" t="s">
        <v>2283</v>
      </c>
      <c r="C7" s="20" t="s">
        <v>2284</v>
      </c>
      <c r="D7" s="20">
        <f>"1,2936"</f>
        <v>0</v>
      </c>
      <c r="E7" s="20" t="s">
        <v>15</v>
      </c>
      <c r="F7" s="20" t="s">
        <v>580</v>
      </c>
      <c r="G7" s="21" t="s">
        <v>1562</v>
      </c>
      <c r="H7" s="21" t="s">
        <v>1562</v>
      </c>
      <c r="I7" s="21"/>
      <c r="J7" s="22" t="s">
        <v>1776</v>
      </c>
      <c r="K7" s="20" t="s">
        <v>2285</v>
      </c>
      <c r="L7" s="20"/>
    </row>
    <row r="9" spans="1:11" ht="16.5">
      <c r="A9" s="23" t="s">
        <v>2286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2" ht="14.25">
      <c r="A10" s="27" t="s">
        <v>2287</v>
      </c>
      <c r="B10" s="27" t="s">
        <v>2288</v>
      </c>
      <c r="C10" s="27" t="s">
        <v>2289</v>
      </c>
      <c r="D10" s="27">
        <f>"1,2220"</f>
        <v>0</v>
      </c>
      <c r="E10" s="27" t="s">
        <v>2290</v>
      </c>
      <c r="F10" s="27" t="s">
        <v>1559</v>
      </c>
      <c r="G10" s="28" t="s">
        <v>463</v>
      </c>
      <c r="H10" s="28" t="s">
        <v>463</v>
      </c>
      <c r="I10" s="28"/>
      <c r="J10" s="29" t="s">
        <v>1559</v>
      </c>
      <c r="K10" s="27" t="s">
        <v>2291</v>
      </c>
      <c r="L10" s="27"/>
    </row>
    <row r="12" spans="1:11" ht="16.5">
      <c r="A12" s="23" t="s">
        <v>213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2" ht="14.25">
      <c r="A13" s="16" t="s">
        <v>2292</v>
      </c>
      <c r="B13" s="16" t="s">
        <v>2293</v>
      </c>
      <c r="C13" s="16" t="s">
        <v>2294</v>
      </c>
      <c r="D13" s="16">
        <f>"1,1144"</f>
        <v>0</v>
      </c>
      <c r="E13" s="16" t="s">
        <v>15</v>
      </c>
      <c r="F13" s="16" t="s">
        <v>2008</v>
      </c>
      <c r="G13" s="18" t="s">
        <v>580</v>
      </c>
      <c r="H13" s="18" t="s">
        <v>580</v>
      </c>
      <c r="I13" s="18"/>
      <c r="J13" s="19" t="s">
        <v>2295</v>
      </c>
      <c r="K13" s="16" t="s">
        <v>2296</v>
      </c>
      <c r="L13" s="16"/>
    </row>
    <row r="14" spans="1:12" ht="14.25">
      <c r="A14" s="24" t="s">
        <v>2297</v>
      </c>
      <c r="B14" s="24" t="s">
        <v>2298</v>
      </c>
      <c r="C14" s="24" t="s">
        <v>2299</v>
      </c>
      <c r="D14" s="24">
        <f>"1,1110"</f>
        <v>0</v>
      </c>
      <c r="E14" s="24" t="s">
        <v>15</v>
      </c>
      <c r="F14" s="24" t="s">
        <v>691</v>
      </c>
      <c r="G14" s="24" t="s">
        <v>540</v>
      </c>
      <c r="H14" s="24" t="s">
        <v>510</v>
      </c>
      <c r="I14" s="25"/>
      <c r="J14" s="26">
        <v>72.5</v>
      </c>
      <c r="K14" s="24">
        <f>"80,5475"</f>
        <v>0</v>
      </c>
      <c r="L14" s="24"/>
    </row>
    <row r="15" spans="1:12" ht="14.25">
      <c r="A15" s="20" t="s">
        <v>2300</v>
      </c>
      <c r="B15" s="20" t="s">
        <v>2301</v>
      </c>
      <c r="C15" s="20" t="s">
        <v>981</v>
      </c>
      <c r="D15" s="20">
        <f>"1,2245"</f>
        <v>0</v>
      </c>
      <c r="E15" s="20" t="s">
        <v>15</v>
      </c>
      <c r="F15" s="20" t="s">
        <v>1563</v>
      </c>
      <c r="G15" s="20" t="s">
        <v>582</v>
      </c>
      <c r="H15" s="21" t="s">
        <v>2302</v>
      </c>
      <c r="I15" s="21"/>
      <c r="J15" s="22">
        <v>45</v>
      </c>
      <c r="K15" s="20">
        <f>"55,1025"</f>
        <v>0</v>
      </c>
      <c r="L15" s="20"/>
    </row>
    <row r="17" spans="1:11" ht="16.5">
      <c r="A17" s="23" t="s">
        <v>583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2" ht="14.25">
      <c r="A18" s="16" t="s">
        <v>2303</v>
      </c>
      <c r="B18" s="16" t="s">
        <v>2304</v>
      </c>
      <c r="C18" s="16" t="s">
        <v>2305</v>
      </c>
      <c r="D18" s="16">
        <f>"1,0454"</f>
        <v>0</v>
      </c>
      <c r="E18" s="16" t="s">
        <v>15</v>
      </c>
      <c r="F18" s="16" t="s">
        <v>594</v>
      </c>
      <c r="G18" s="16" t="s">
        <v>1559</v>
      </c>
      <c r="H18" s="18" t="s">
        <v>463</v>
      </c>
      <c r="I18" s="18"/>
      <c r="J18" s="19">
        <v>52.5</v>
      </c>
      <c r="K18" s="16">
        <f>"54,8835"</f>
        <v>0</v>
      </c>
      <c r="L18" s="16"/>
    </row>
    <row r="19" spans="1:12" ht="14.25">
      <c r="A19" s="20" t="s">
        <v>2306</v>
      </c>
      <c r="B19" s="20" t="s">
        <v>2307</v>
      </c>
      <c r="C19" s="20" t="s">
        <v>586</v>
      </c>
      <c r="D19" s="20">
        <f>"1,0561"</f>
        <v>0</v>
      </c>
      <c r="E19" s="20" t="s">
        <v>15</v>
      </c>
      <c r="F19" s="20" t="s">
        <v>2302</v>
      </c>
      <c r="G19" s="21" t="s">
        <v>1559</v>
      </c>
      <c r="H19" s="21" t="s">
        <v>463</v>
      </c>
      <c r="I19" s="21"/>
      <c r="J19" s="22">
        <v>47.5</v>
      </c>
      <c r="K19" s="20">
        <f>"50,1648"</f>
        <v>0</v>
      </c>
      <c r="L19" s="20"/>
    </row>
    <row r="21" spans="1:11" ht="16.5">
      <c r="A21" s="23" t="s">
        <v>202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2" ht="14.25">
      <c r="A22" s="16" t="s">
        <v>2308</v>
      </c>
      <c r="B22" s="16" t="s">
        <v>2309</v>
      </c>
      <c r="C22" s="16" t="s">
        <v>2310</v>
      </c>
      <c r="D22" s="16">
        <f>"0,9997"</f>
        <v>0</v>
      </c>
      <c r="E22" s="16" t="s">
        <v>15</v>
      </c>
      <c r="F22" s="16" t="s">
        <v>1566</v>
      </c>
      <c r="G22" s="16" t="s">
        <v>547</v>
      </c>
      <c r="H22" s="16" t="s">
        <v>540</v>
      </c>
      <c r="I22" s="18"/>
      <c r="J22" s="19">
        <v>70</v>
      </c>
      <c r="K22" s="16">
        <f>"69,9790"</f>
        <v>0</v>
      </c>
      <c r="L22" s="16"/>
    </row>
    <row r="23" spans="1:12" ht="14.25">
      <c r="A23" s="24" t="s">
        <v>2311</v>
      </c>
      <c r="B23" s="24" t="s">
        <v>1072</v>
      </c>
      <c r="C23" s="24" t="s">
        <v>2312</v>
      </c>
      <c r="D23" s="24">
        <f>"0,9916"</f>
        <v>0</v>
      </c>
      <c r="E23" s="24" t="s">
        <v>15</v>
      </c>
      <c r="F23" s="25" t="s">
        <v>524</v>
      </c>
      <c r="G23" s="24" t="s">
        <v>1566</v>
      </c>
      <c r="H23" s="25" t="s">
        <v>547</v>
      </c>
      <c r="I23" s="25"/>
      <c r="J23" s="26">
        <v>62.5</v>
      </c>
      <c r="K23" s="24">
        <f>"61,9750"</f>
        <v>0</v>
      </c>
      <c r="L23" s="24"/>
    </row>
    <row r="24" spans="1:12" ht="14.25">
      <c r="A24" s="20" t="s">
        <v>2308</v>
      </c>
      <c r="B24" s="20" t="s">
        <v>2313</v>
      </c>
      <c r="C24" s="20" t="s">
        <v>2310</v>
      </c>
      <c r="D24" s="20">
        <f>"1,0547"</f>
        <v>0</v>
      </c>
      <c r="E24" s="20" t="s">
        <v>15</v>
      </c>
      <c r="F24" s="20" t="s">
        <v>1566</v>
      </c>
      <c r="G24" s="20" t="s">
        <v>547</v>
      </c>
      <c r="H24" s="21"/>
      <c r="I24" s="21"/>
      <c r="J24" s="22">
        <v>67.5</v>
      </c>
      <c r="K24" s="20">
        <f>"71,1911"</f>
        <v>0</v>
      </c>
      <c r="L24" s="20"/>
    </row>
    <row r="26" spans="1:11" ht="16.5">
      <c r="A26" s="23" t="s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2" ht="14.25">
      <c r="A27" s="16" t="s">
        <v>2314</v>
      </c>
      <c r="B27" s="16" t="s">
        <v>2315</v>
      </c>
      <c r="C27" s="16" t="s">
        <v>2316</v>
      </c>
      <c r="D27" s="16">
        <f>"0,9733"</f>
        <v>0</v>
      </c>
      <c r="E27" s="16" t="s">
        <v>15</v>
      </c>
      <c r="F27" s="16" t="s">
        <v>582</v>
      </c>
      <c r="G27" s="18" t="s">
        <v>594</v>
      </c>
      <c r="H27" s="16" t="s">
        <v>594</v>
      </c>
      <c r="I27" s="18"/>
      <c r="J27" s="19">
        <v>50</v>
      </c>
      <c r="K27" s="16">
        <f>"48,6675"</f>
        <v>0</v>
      </c>
      <c r="L27" s="16"/>
    </row>
    <row r="28" spans="1:12" ht="14.25">
      <c r="A28" s="24" t="s">
        <v>2317</v>
      </c>
      <c r="B28" s="24" t="s">
        <v>2318</v>
      </c>
      <c r="C28" s="24" t="s">
        <v>1581</v>
      </c>
      <c r="D28" s="24">
        <f>"0,9089"</f>
        <v>0</v>
      </c>
      <c r="E28" s="24" t="s">
        <v>15</v>
      </c>
      <c r="F28" s="24" t="s">
        <v>511</v>
      </c>
      <c r="G28" s="25" t="s">
        <v>512</v>
      </c>
      <c r="H28" s="25" t="s">
        <v>328</v>
      </c>
      <c r="I28" s="25"/>
      <c r="J28" s="26" t="s">
        <v>511</v>
      </c>
      <c r="K28" s="24" t="s">
        <v>2319</v>
      </c>
      <c r="L28" s="24"/>
    </row>
    <row r="29" spans="1:12" ht="14.25">
      <c r="A29" s="20" t="s">
        <v>2320</v>
      </c>
      <c r="B29" s="20" t="s">
        <v>2321</v>
      </c>
      <c r="C29" s="20" t="s">
        <v>2322</v>
      </c>
      <c r="D29" s="20">
        <f>"0,9614"</f>
        <v>0</v>
      </c>
      <c r="E29" s="20" t="s">
        <v>15</v>
      </c>
      <c r="F29" s="20" t="s">
        <v>510</v>
      </c>
      <c r="G29" s="20" t="s">
        <v>526</v>
      </c>
      <c r="H29" s="20" t="s">
        <v>511</v>
      </c>
      <c r="I29" s="21"/>
      <c r="J29" s="22">
        <v>77.5</v>
      </c>
      <c r="K29" s="20">
        <f>"74,5102"</f>
        <v>0</v>
      </c>
      <c r="L29" s="20"/>
    </row>
    <row r="31" spans="1:11" ht="16.5">
      <c r="A31" s="23" t="s">
        <v>213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2" ht="14.25">
      <c r="A32" s="16" t="s">
        <v>2323</v>
      </c>
      <c r="B32" s="16" t="s">
        <v>2324</v>
      </c>
      <c r="C32" s="16" t="s">
        <v>2325</v>
      </c>
      <c r="D32" s="16">
        <f>"1,0076"</f>
        <v>0</v>
      </c>
      <c r="E32" s="16" t="s">
        <v>638</v>
      </c>
      <c r="F32" s="16" t="s">
        <v>2013</v>
      </c>
      <c r="G32" s="16" t="s">
        <v>580</v>
      </c>
      <c r="H32" s="18" t="s">
        <v>1562</v>
      </c>
      <c r="I32" s="18"/>
      <c r="J32" s="19">
        <v>35</v>
      </c>
      <c r="K32" s="16">
        <f>"35,2660"</f>
        <v>0</v>
      </c>
      <c r="L32" s="16"/>
    </row>
    <row r="33" spans="1:12" ht="14.25">
      <c r="A33" s="24" t="s">
        <v>2326</v>
      </c>
      <c r="B33" s="24" t="s">
        <v>2327</v>
      </c>
      <c r="C33" s="24" t="s">
        <v>2328</v>
      </c>
      <c r="D33" s="24">
        <f>"1,0664"</f>
        <v>0</v>
      </c>
      <c r="E33" s="24" t="s">
        <v>15</v>
      </c>
      <c r="F33" s="24" t="s">
        <v>24</v>
      </c>
      <c r="G33" s="24" t="s">
        <v>16</v>
      </c>
      <c r="H33" s="25" t="s">
        <v>516</v>
      </c>
      <c r="I33" s="25"/>
      <c r="J33" s="26">
        <v>100</v>
      </c>
      <c r="K33" s="24">
        <f>"106,6450"</f>
        <v>0</v>
      </c>
      <c r="L33" s="24"/>
    </row>
    <row r="34" spans="1:12" ht="14.25">
      <c r="A34" s="20" t="s">
        <v>2329</v>
      </c>
      <c r="B34" s="20" t="s">
        <v>2330</v>
      </c>
      <c r="C34" s="20" t="s">
        <v>2331</v>
      </c>
      <c r="D34" s="20">
        <f>"1,1819"</f>
        <v>0</v>
      </c>
      <c r="E34" s="20" t="s">
        <v>15</v>
      </c>
      <c r="F34" s="20" t="s">
        <v>1566</v>
      </c>
      <c r="G34" s="20" t="s">
        <v>691</v>
      </c>
      <c r="H34" s="20" t="s">
        <v>547</v>
      </c>
      <c r="I34" s="21"/>
      <c r="J34" s="22">
        <v>67.5</v>
      </c>
      <c r="K34" s="20">
        <f>"79,7777"</f>
        <v>0</v>
      </c>
      <c r="L34" s="20"/>
    </row>
    <row r="36" spans="1:11" ht="16.5">
      <c r="A36" s="23" t="s">
        <v>202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2" ht="14.25">
      <c r="A37" s="16" t="s">
        <v>2332</v>
      </c>
      <c r="B37" s="16" t="s">
        <v>2333</v>
      </c>
      <c r="C37" s="16" t="s">
        <v>522</v>
      </c>
      <c r="D37" s="16">
        <f>"0,8328"</f>
        <v>0</v>
      </c>
      <c r="E37" s="16" t="s">
        <v>15</v>
      </c>
      <c r="F37" s="16" t="s">
        <v>18</v>
      </c>
      <c r="G37" s="16" t="s">
        <v>29</v>
      </c>
      <c r="H37" s="18" t="s">
        <v>1356</v>
      </c>
      <c r="I37" s="18"/>
      <c r="J37" s="19">
        <v>120</v>
      </c>
      <c r="K37" s="16">
        <f>"99,9420"</f>
        <v>0</v>
      </c>
      <c r="L37" s="16"/>
    </row>
    <row r="38" spans="1:12" ht="14.25">
      <c r="A38" s="24" t="s">
        <v>2334</v>
      </c>
      <c r="B38" s="24" t="s">
        <v>2335</v>
      </c>
      <c r="C38" s="24" t="s">
        <v>2310</v>
      </c>
      <c r="D38" s="24">
        <f>"0,8453"</f>
        <v>0</v>
      </c>
      <c r="E38" s="24" t="s">
        <v>15</v>
      </c>
      <c r="F38" s="24" t="s">
        <v>527</v>
      </c>
      <c r="G38" s="25" t="s">
        <v>328</v>
      </c>
      <c r="H38" s="25" t="s">
        <v>328</v>
      </c>
      <c r="I38" s="25"/>
      <c r="J38" s="26" t="s">
        <v>1560</v>
      </c>
      <c r="K38" s="24" t="s">
        <v>2336</v>
      </c>
      <c r="L38" s="24"/>
    </row>
    <row r="39" spans="1:12" ht="14.25">
      <c r="A39" s="20" t="s">
        <v>2337</v>
      </c>
      <c r="B39" s="20" t="s">
        <v>2338</v>
      </c>
      <c r="C39" s="20" t="s">
        <v>2312</v>
      </c>
      <c r="D39" s="20">
        <f>"0,8369"</f>
        <v>0</v>
      </c>
      <c r="E39" s="20" t="s">
        <v>369</v>
      </c>
      <c r="F39" s="20" t="s">
        <v>30</v>
      </c>
      <c r="G39" s="20" t="s">
        <v>62</v>
      </c>
      <c r="H39" s="20" t="s">
        <v>36</v>
      </c>
      <c r="I39" s="21"/>
      <c r="J39" s="22">
        <v>140</v>
      </c>
      <c r="K39" s="20">
        <f>"117,1660"</f>
        <v>0</v>
      </c>
      <c r="L39" s="20"/>
    </row>
    <row r="41" spans="1:11" ht="16.5">
      <c r="A41" s="23" t="s">
        <v>11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2" ht="14.25">
      <c r="A42" s="16" t="s">
        <v>2339</v>
      </c>
      <c r="B42" s="16" t="s">
        <v>2340</v>
      </c>
      <c r="C42" s="16" t="s">
        <v>539</v>
      </c>
      <c r="D42" s="16">
        <f>"0,7503"</f>
        <v>0</v>
      </c>
      <c r="E42" s="16" t="s">
        <v>15</v>
      </c>
      <c r="F42" s="16" t="s">
        <v>23</v>
      </c>
      <c r="G42" s="16" t="s">
        <v>16</v>
      </c>
      <c r="H42" s="16" t="s">
        <v>217</v>
      </c>
      <c r="I42" s="18"/>
      <c r="J42" s="19">
        <v>105</v>
      </c>
      <c r="K42" s="16">
        <f>"78,7867"</f>
        <v>0</v>
      </c>
      <c r="L42" s="16"/>
    </row>
    <row r="43" spans="1:12" ht="14.25">
      <c r="A43" s="24" t="s">
        <v>2341</v>
      </c>
      <c r="B43" s="24" t="s">
        <v>2342</v>
      </c>
      <c r="C43" s="24" t="s">
        <v>2343</v>
      </c>
      <c r="D43" s="24">
        <f>"0,7764"</f>
        <v>0</v>
      </c>
      <c r="E43" s="24" t="s">
        <v>15</v>
      </c>
      <c r="F43" s="24" t="s">
        <v>691</v>
      </c>
      <c r="G43" s="24" t="s">
        <v>547</v>
      </c>
      <c r="H43" s="24" t="s">
        <v>510</v>
      </c>
      <c r="I43" s="25"/>
      <c r="J43" s="26">
        <v>72.5</v>
      </c>
      <c r="K43" s="24">
        <f>"56,2926"</f>
        <v>0</v>
      </c>
      <c r="L43" s="24"/>
    </row>
    <row r="44" spans="1:12" ht="14.25">
      <c r="A44" s="24" t="s">
        <v>2344</v>
      </c>
      <c r="B44" s="24" t="s">
        <v>2345</v>
      </c>
      <c r="C44" s="24" t="s">
        <v>2346</v>
      </c>
      <c r="D44" s="24">
        <f>"0,8249"</f>
        <v>0</v>
      </c>
      <c r="E44" s="24" t="s">
        <v>15</v>
      </c>
      <c r="F44" s="24" t="s">
        <v>328</v>
      </c>
      <c r="G44" s="24" t="s">
        <v>22</v>
      </c>
      <c r="H44" s="24" t="s">
        <v>24</v>
      </c>
      <c r="I44" s="25"/>
      <c r="J44" s="26">
        <v>97.5</v>
      </c>
      <c r="K44" s="24">
        <f>"80,4277"</f>
        <v>0</v>
      </c>
      <c r="L44" s="24"/>
    </row>
    <row r="45" spans="1:12" ht="14.25">
      <c r="A45" s="24" t="s">
        <v>2347</v>
      </c>
      <c r="B45" s="24" t="s">
        <v>2348</v>
      </c>
      <c r="C45" s="24" t="s">
        <v>1006</v>
      </c>
      <c r="D45" s="24">
        <f>"0,7681"</f>
        <v>0</v>
      </c>
      <c r="E45" s="24" t="s">
        <v>15</v>
      </c>
      <c r="F45" s="24" t="s">
        <v>516</v>
      </c>
      <c r="G45" s="24" t="s">
        <v>260</v>
      </c>
      <c r="H45" s="24" t="s">
        <v>17</v>
      </c>
      <c r="I45" s="25"/>
      <c r="J45" s="26">
        <v>110</v>
      </c>
      <c r="K45" s="24">
        <f>"84,4855"</f>
        <v>0</v>
      </c>
      <c r="L45" s="24"/>
    </row>
    <row r="46" spans="1:12" ht="14.25">
      <c r="A46" s="20" t="s">
        <v>2349</v>
      </c>
      <c r="B46" s="20" t="s">
        <v>2350</v>
      </c>
      <c r="C46" s="20" t="s">
        <v>2036</v>
      </c>
      <c r="D46" s="20">
        <f>"0,9250"</f>
        <v>0</v>
      </c>
      <c r="E46" s="20" t="s">
        <v>15</v>
      </c>
      <c r="F46" s="20" t="s">
        <v>29</v>
      </c>
      <c r="G46" s="20" t="s">
        <v>35</v>
      </c>
      <c r="H46" s="21" t="s">
        <v>30</v>
      </c>
      <c r="I46" s="21"/>
      <c r="J46" s="22">
        <v>125</v>
      </c>
      <c r="K46" s="20">
        <f>"115,6247"</f>
        <v>0</v>
      </c>
      <c r="L46" s="20"/>
    </row>
    <row r="48" spans="1:11" ht="16.5">
      <c r="A48" s="23" t="s">
        <v>25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2" ht="14.25">
      <c r="A49" s="16" t="s">
        <v>2351</v>
      </c>
      <c r="B49" s="16" t="s">
        <v>2352</v>
      </c>
      <c r="C49" s="16" t="s">
        <v>222</v>
      </c>
      <c r="D49" s="16">
        <f>"0,6934"</f>
        <v>0</v>
      </c>
      <c r="E49" s="16" t="s">
        <v>15</v>
      </c>
      <c r="F49" s="18" t="s">
        <v>328</v>
      </c>
      <c r="G49" s="16" t="s">
        <v>328</v>
      </c>
      <c r="H49" s="16" t="s">
        <v>22</v>
      </c>
      <c r="I49" s="18"/>
      <c r="J49" s="19">
        <v>90</v>
      </c>
      <c r="K49" s="16">
        <f>"62,4015"</f>
        <v>0</v>
      </c>
      <c r="L49" s="16"/>
    </row>
    <row r="50" spans="1:12" ht="14.25">
      <c r="A50" s="24" t="s">
        <v>2353</v>
      </c>
      <c r="B50" s="24" t="s">
        <v>2354</v>
      </c>
      <c r="C50" s="24" t="s">
        <v>34</v>
      </c>
      <c r="D50" s="24">
        <f>"0,6962"</f>
        <v>0</v>
      </c>
      <c r="E50" s="24" t="s">
        <v>15</v>
      </c>
      <c r="F50" s="25" t="s">
        <v>526</v>
      </c>
      <c r="G50" s="24" t="s">
        <v>511</v>
      </c>
      <c r="H50" s="24" t="s">
        <v>512</v>
      </c>
      <c r="I50" s="25"/>
      <c r="J50" s="26">
        <v>82.5</v>
      </c>
      <c r="K50" s="24">
        <f>"57,4324"</f>
        <v>0</v>
      </c>
      <c r="L50" s="24"/>
    </row>
    <row r="51" spans="1:12" ht="14.25">
      <c r="A51" s="24" t="s">
        <v>2355</v>
      </c>
      <c r="B51" s="24" t="s">
        <v>2356</v>
      </c>
      <c r="C51" s="24" t="s">
        <v>2357</v>
      </c>
      <c r="D51" s="24">
        <f>"0,7005"</f>
        <v>0</v>
      </c>
      <c r="E51" s="24" t="s">
        <v>15</v>
      </c>
      <c r="F51" s="24" t="s">
        <v>22</v>
      </c>
      <c r="G51" s="24" t="s">
        <v>16</v>
      </c>
      <c r="H51" s="25" t="s">
        <v>217</v>
      </c>
      <c r="I51" s="25"/>
      <c r="J51" s="26">
        <v>100</v>
      </c>
      <c r="K51" s="24">
        <f>"70,0450"</f>
        <v>0</v>
      </c>
      <c r="L51" s="24"/>
    </row>
    <row r="52" spans="1:12" ht="14.25">
      <c r="A52" s="24" t="s">
        <v>610</v>
      </c>
      <c r="B52" s="24" t="s">
        <v>611</v>
      </c>
      <c r="C52" s="24" t="s">
        <v>1443</v>
      </c>
      <c r="D52" s="24">
        <f>"0,6913"</f>
        <v>0</v>
      </c>
      <c r="E52" s="24" t="s">
        <v>509</v>
      </c>
      <c r="F52" s="24" t="s">
        <v>62</v>
      </c>
      <c r="G52" s="24" t="s">
        <v>36</v>
      </c>
      <c r="H52" s="24" t="s">
        <v>774</v>
      </c>
      <c r="I52" s="25"/>
      <c r="J52" s="26">
        <v>142.5</v>
      </c>
      <c r="K52" s="24">
        <f>"98,5031"</f>
        <v>0</v>
      </c>
      <c r="L52" s="24"/>
    </row>
    <row r="53" spans="1:12" ht="14.25">
      <c r="A53" s="24" t="s">
        <v>2243</v>
      </c>
      <c r="B53" s="24" t="s">
        <v>2244</v>
      </c>
      <c r="C53" s="24" t="s">
        <v>2245</v>
      </c>
      <c r="D53" s="24">
        <f>"0,7375"</f>
        <v>0</v>
      </c>
      <c r="E53" s="24" t="s">
        <v>536</v>
      </c>
      <c r="F53" s="24" t="s">
        <v>22</v>
      </c>
      <c r="G53" s="24" t="s">
        <v>16</v>
      </c>
      <c r="H53" s="25" t="s">
        <v>217</v>
      </c>
      <c r="I53" s="25"/>
      <c r="J53" s="26">
        <v>100</v>
      </c>
      <c r="K53" s="24">
        <f>"73,7450"</f>
        <v>0</v>
      </c>
      <c r="L53" s="24"/>
    </row>
    <row r="54" spans="1:12" ht="14.25">
      <c r="A54" s="24" t="s">
        <v>2358</v>
      </c>
      <c r="B54" s="24" t="s">
        <v>2359</v>
      </c>
      <c r="C54" s="24" t="s">
        <v>551</v>
      </c>
      <c r="D54" s="24">
        <f>"0,6998"</f>
        <v>0</v>
      </c>
      <c r="E54" s="24" t="s">
        <v>15</v>
      </c>
      <c r="F54" s="24" t="s">
        <v>36</v>
      </c>
      <c r="G54" s="24" t="s">
        <v>17</v>
      </c>
      <c r="H54" s="25" t="s">
        <v>555</v>
      </c>
      <c r="I54" s="25"/>
      <c r="J54" s="26">
        <v>110</v>
      </c>
      <c r="K54" s="24">
        <f>"76,9725"</f>
        <v>0</v>
      </c>
      <c r="L54" s="24"/>
    </row>
    <row r="55" spans="1:12" ht="14.25">
      <c r="A55" s="24" t="s">
        <v>2360</v>
      </c>
      <c r="B55" s="24" t="s">
        <v>2361</v>
      </c>
      <c r="C55" s="24" t="s">
        <v>1281</v>
      </c>
      <c r="D55" s="24">
        <f>"0,7019"</f>
        <v>0</v>
      </c>
      <c r="E55" s="24" t="s">
        <v>15</v>
      </c>
      <c r="F55" s="24" t="s">
        <v>217</v>
      </c>
      <c r="G55" s="25" t="s">
        <v>54</v>
      </c>
      <c r="H55" s="25" t="s">
        <v>246</v>
      </c>
      <c r="I55" s="25"/>
      <c r="J55" s="26" t="s">
        <v>217</v>
      </c>
      <c r="K55" s="24" t="s">
        <v>2362</v>
      </c>
      <c r="L55" s="24"/>
    </row>
    <row r="56" spans="1:12" ht="14.25">
      <c r="A56" s="24" t="s">
        <v>2363</v>
      </c>
      <c r="B56" s="24" t="s">
        <v>2364</v>
      </c>
      <c r="C56" s="24" t="s">
        <v>34</v>
      </c>
      <c r="D56" s="24">
        <f>"0,6962"</f>
        <v>0</v>
      </c>
      <c r="E56" s="24" t="s">
        <v>15</v>
      </c>
      <c r="F56" s="24" t="s">
        <v>555</v>
      </c>
      <c r="G56" s="25" t="s">
        <v>1356</v>
      </c>
      <c r="H56" s="25" t="s">
        <v>1356</v>
      </c>
      <c r="I56" s="25"/>
      <c r="J56" s="26" t="s">
        <v>555</v>
      </c>
      <c r="K56" s="24" t="s">
        <v>2365</v>
      </c>
      <c r="L56" s="24"/>
    </row>
    <row r="57" spans="1:12" ht="14.25">
      <c r="A57" s="24" t="s">
        <v>631</v>
      </c>
      <c r="B57" s="24" t="s">
        <v>632</v>
      </c>
      <c r="C57" s="24" t="s">
        <v>1284</v>
      </c>
      <c r="D57" s="24">
        <f>"0,7045"</f>
        <v>0</v>
      </c>
      <c r="E57" s="24" t="s">
        <v>15</v>
      </c>
      <c r="F57" s="24" t="s">
        <v>120</v>
      </c>
      <c r="G57" s="24" t="s">
        <v>54</v>
      </c>
      <c r="H57" s="25" t="s">
        <v>246</v>
      </c>
      <c r="I57" s="25"/>
      <c r="J57" s="26">
        <v>150</v>
      </c>
      <c r="K57" s="24">
        <f>"105,6788"</f>
        <v>0</v>
      </c>
      <c r="L57" s="24"/>
    </row>
    <row r="58" spans="1:12" ht="14.25">
      <c r="A58" s="24" t="s">
        <v>2366</v>
      </c>
      <c r="B58" s="24" t="s">
        <v>2367</v>
      </c>
      <c r="C58" s="24" t="s">
        <v>1346</v>
      </c>
      <c r="D58" s="24">
        <f>"0,7123"</f>
        <v>0</v>
      </c>
      <c r="E58" s="24" t="s">
        <v>15</v>
      </c>
      <c r="F58" s="25" t="s">
        <v>217</v>
      </c>
      <c r="G58" s="25" t="s">
        <v>555</v>
      </c>
      <c r="H58" s="25" t="s">
        <v>555</v>
      </c>
      <c r="I58" s="25"/>
      <c r="J58" s="26">
        <v>0</v>
      </c>
      <c r="K58" s="24">
        <f>"0,0000"</f>
        <v>0</v>
      </c>
      <c r="L58" s="24"/>
    </row>
    <row r="59" spans="1:12" ht="14.25">
      <c r="A59" s="20" t="s">
        <v>2368</v>
      </c>
      <c r="B59" s="20" t="s">
        <v>2369</v>
      </c>
      <c r="C59" s="20" t="s">
        <v>34</v>
      </c>
      <c r="D59" s="20">
        <f>"0,7637"</f>
        <v>0</v>
      </c>
      <c r="E59" s="20" t="s">
        <v>15</v>
      </c>
      <c r="F59" s="20" t="s">
        <v>1356</v>
      </c>
      <c r="G59" s="21" t="s">
        <v>1226</v>
      </c>
      <c r="H59" s="21" t="s">
        <v>1226</v>
      </c>
      <c r="I59" s="21"/>
      <c r="J59" s="22" t="s">
        <v>1356</v>
      </c>
      <c r="K59" s="20" t="s">
        <v>2370</v>
      </c>
      <c r="L59" s="20" t="s">
        <v>2371</v>
      </c>
    </row>
    <row r="61" spans="1:11" ht="16.5">
      <c r="A61" s="23" t="s">
        <v>49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2" ht="14.25">
      <c r="A62" s="16" t="s">
        <v>2372</v>
      </c>
      <c r="B62" s="16" t="s">
        <v>2373</v>
      </c>
      <c r="C62" s="16" t="s">
        <v>677</v>
      </c>
      <c r="D62" s="16">
        <f>"0,6540"</f>
        <v>0</v>
      </c>
      <c r="E62" s="16" t="s">
        <v>1040</v>
      </c>
      <c r="F62" s="16" t="s">
        <v>312</v>
      </c>
      <c r="G62" s="16" t="s">
        <v>92</v>
      </c>
      <c r="H62" s="18" t="s">
        <v>1031</v>
      </c>
      <c r="I62" s="18"/>
      <c r="J62" s="19">
        <v>165</v>
      </c>
      <c r="K62" s="16">
        <f>"107,9100"</f>
        <v>0</v>
      </c>
      <c r="L62" s="16"/>
    </row>
    <row r="63" spans="1:12" ht="14.25">
      <c r="A63" s="24" t="s">
        <v>2374</v>
      </c>
      <c r="B63" s="24" t="s">
        <v>2375</v>
      </c>
      <c r="C63" s="24" t="s">
        <v>1039</v>
      </c>
      <c r="D63" s="24">
        <f>"0,6482"</f>
        <v>0</v>
      </c>
      <c r="E63" s="24" t="s">
        <v>15</v>
      </c>
      <c r="F63" s="24" t="s">
        <v>30</v>
      </c>
      <c r="G63" s="24" t="s">
        <v>62</v>
      </c>
      <c r="H63" s="25" t="s">
        <v>633</v>
      </c>
      <c r="I63" s="25"/>
      <c r="J63" s="26">
        <v>135</v>
      </c>
      <c r="K63" s="24">
        <f>"87,5070"</f>
        <v>0</v>
      </c>
      <c r="L63" s="24"/>
    </row>
    <row r="64" spans="1:12" ht="14.25">
      <c r="A64" s="24" t="s">
        <v>2376</v>
      </c>
      <c r="B64" s="24" t="s">
        <v>2377</v>
      </c>
      <c r="C64" s="24" t="s">
        <v>227</v>
      </c>
      <c r="D64" s="24">
        <f>"0,6508"</f>
        <v>0</v>
      </c>
      <c r="E64" s="24" t="s">
        <v>15</v>
      </c>
      <c r="F64" s="24" t="s">
        <v>18</v>
      </c>
      <c r="G64" s="24" t="s">
        <v>29</v>
      </c>
      <c r="H64" s="25" t="s">
        <v>1226</v>
      </c>
      <c r="I64" s="25"/>
      <c r="J64" s="26">
        <v>120</v>
      </c>
      <c r="K64" s="24">
        <f>"78,0960"</f>
        <v>0</v>
      </c>
      <c r="L64" s="24"/>
    </row>
    <row r="65" spans="1:12" ht="14.25">
      <c r="A65" s="24" t="s">
        <v>2378</v>
      </c>
      <c r="B65" s="24" t="s">
        <v>2379</v>
      </c>
      <c r="C65" s="24" t="s">
        <v>61</v>
      </c>
      <c r="D65" s="24">
        <f>"0,6596"</f>
        <v>0</v>
      </c>
      <c r="E65" s="24" t="s">
        <v>15</v>
      </c>
      <c r="F65" s="24" t="s">
        <v>54</v>
      </c>
      <c r="G65" s="24" t="s">
        <v>246</v>
      </c>
      <c r="H65" s="25" t="s">
        <v>486</v>
      </c>
      <c r="I65" s="25"/>
      <c r="J65" s="26">
        <v>155</v>
      </c>
      <c r="K65" s="24">
        <f>"102,2354"</f>
        <v>0</v>
      </c>
      <c r="L65" s="24"/>
    </row>
    <row r="66" spans="1:12" ht="14.25">
      <c r="A66" s="24" t="s">
        <v>2380</v>
      </c>
      <c r="B66" s="24" t="s">
        <v>2381</v>
      </c>
      <c r="C66" s="24" t="s">
        <v>571</v>
      </c>
      <c r="D66" s="24">
        <f>"0,6823"</f>
        <v>0</v>
      </c>
      <c r="E66" s="24" t="s">
        <v>15</v>
      </c>
      <c r="F66" s="25" t="s">
        <v>16</v>
      </c>
      <c r="G66" s="24" t="s">
        <v>16</v>
      </c>
      <c r="H66" s="25" t="s">
        <v>217</v>
      </c>
      <c r="I66" s="25"/>
      <c r="J66" s="26">
        <v>100</v>
      </c>
      <c r="K66" s="24">
        <f>"68,2264"</f>
        <v>0</v>
      </c>
      <c r="L66" s="24"/>
    </row>
    <row r="67" spans="1:12" ht="14.25">
      <c r="A67" s="24" t="s">
        <v>2382</v>
      </c>
      <c r="B67" s="24" t="s">
        <v>2383</v>
      </c>
      <c r="C67" s="24" t="s">
        <v>231</v>
      </c>
      <c r="D67" s="24">
        <f>"0,7249"</f>
        <v>0</v>
      </c>
      <c r="E67" s="24" t="s">
        <v>15</v>
      </c>
      <c r="F67" s="25" t="s">
        <v>486</v>
      </c>
      <c r="G67" s="25" t="s">
        <v>486</v>
      </c>
      <c r="H67" s="24" t="s">
        <v>486</v>
      </c>
      <c r="I67" s="25"/>
      <c r="J67" s="26">
        <v>160</v>
      </c>
      <c r="K67" s="24">
        <f>"115,9835"</f>
        <v>0</v>
      </c>
      <c r="L67" s="24"/>
    </row>
    <row r="68" spans="1:12" ht="14.25">
      <c r="A68" s="24" t="s">
        <v>2384</v>
      </c>
      <c r="B68" s="24" t="s">
        <v>2385</v>
      </c>
      <c r="C68" s="24" t="s">
        <v>2386</v>
      </c>
      <c r="D68" s="24">
        <f>"0,7291"</f>
        <v>0</v>
      </c>
      <c r="E68" s="24" t="s">
        <v>15</v>
      </c>
      <c r="F68" s="24" t="s">
        <v>516</v>
      </c>
      <c r="G68" s="24" t="s">
        <v>260</v>
      </c>
      <c r="H68" s="25" t="s">
        <v>17</v>
      </c>
      <c r="I68" s="25"/>
      <c r="J68" s="26">
        <v>107.5</v>
      </c>
      <c r="K68" s="24">
        <f>"78,3746"</f>
        <v>0</v>
      </c>
      <c r="L68" s="24"/>
    </row>
    <row r="69" spans="1:12" ht="14.25">
      <c r="A69" s="24" t="s">
        <v>2387</v>
      </c>
      <c r="B69" s="24" t="s">
        <v>2388</v>
      </c>
      <c r="C69" s="24" t="s">
        <v>656</v>
      </c>
      <c r="D69" s="24">
        <f>"0,7644"</f>
        <v>0</v>
      </c>
      <c r="E69" s="24" t="s">
        <v>15</v>
      </c>
      <c r="F69" s="24" t="s">
        <v>29</v>
      </c>
      <c r="G69" s="25" t="s">
        <v>1226</v>
      </c>
      <c r="H69" s="24" t="s">
        <v>1226</v>
      </c>
      <c r="I69" s="25"/>
      <c r="J69" s="26">
        <v>127.5</v>
      </c>
      <c r="K69" s="24">
        <f>"97,4629"</f>
        <v>0</v>
      </c>
      <c r="L69" s="24"/>
    </row>
    <row r="70" spans="1:12" ht="14.25">
      <c r="A70" s="24" t="s">
        <v>2389</v>
      </c>
      <c r="B70" s="24" t="s">
        <v>2390</v>
      </c>
      <c r="C70" s="24" t="s">
        <v>2391</v>
      </c>
      <c r="D70" s="24">
        <f>"0,7863"</f>
        <v>0</v>
      </c>
      <c r="E70" s="24" t="s">
        <v>15</v>
      </c>
      <c r="F70" s="24" t="s">
        <v>17</v>
      </c>
      <c r="G70" s="24" t="s">
        <v>18</v>
      </c>
      <c r="H70" s="25" t="s">
        <v>29</v>
      </c>
      <c r="I70" s="25"/>
      <c r="J70" s="26">
        <v>115</v>
      </c>
      <c r="K70" s="24">
        <f>"90,4239"</f>
        <v>0</v>
      </c>
      <c r="L70" s="24"/>
    </row>
    <row r="71" spans="1:12" ht="14.25">
      <c r="A71" s="24" t="s">
        <v>2392</v>
      </c>
      <c r="B71" s="24" t="s">
        <v>2393</v>
      </c>
      <c r="C71" s="24" t="s">
        <v>651</v>
      </c>
      <c r="D71" s="24">
        <f>"0,7953"</f>
        <v>0</v>
      </c>
      <c r="E71" s="24" t="s">
        <v>15</v>
      </c>
      <c r="F71" s="24" t="s">
        <v>36</v>
      </c>
      <c r="G71" s="25" t="s">
        <v>54</v>
      </c>
      <c r="H71" s="24" t="s">
        <v>54</v>
      </c>
      <c r="I71" s="25"/>
      <c r="J71" s="26">
        <v>150</v>
      </c>
      <c r="K71" s="24">
        <f>"119,2997"</f>
        <v>0</v>
      </c>
      <c r="L71" s="24"/>
    </row>
    <row r="72" spans="1:12" ht="14.25">
      <c r="A72" s="24" t="s">
        <v>2394</v>
      </c>
      <c r="B72" s="24" t="s">
        <v>2395</v>
      </c>
      <c r="C72" s="24" t="s">
        <v>656</v>
      </c>
      <c r="D72" s="24">
        <f>"0,9711"</f>
        <v>0</v>
      </c>
      <c r="E72" s="24" t="s">
        <v>2396</v>
      </c>
      <c r="F72" s="24" t="s">
        <v>18</v>
      </c>
      <c r="G72" s="25" t="s">
        <v>35</v>
      </c>
      <c r="H72" s="25" t="s">
        <v>35</v>
      </c>
      <c r="I72" s="25"/>
      <c r="J72" s="26" t="s">
        <v>665</v>
      </c>
      <c r="K72" s="24" t="s">
        <v>2397</v>
      </c>
      <c r="L72" s="24"/>
    </row>
    <row r="73" spans="1:12" ht="14.25">
      <c r="A73" s="20" t="s">
        <v>2398</v>
      </c>
      <c r="B73" s="20" t="s">
        <v>2399</v>
      </c>
      <c r="C73" s="20" t="s">
        <v>2062</v>
      </c>
      <c r="D73" s="20">
        <f>"1,3041"</f>
        <v>0</v>
      </c>
      <c r="E73" s="20" t="s">
        <v>15</v>
      </c>
      <c r="F73" s="20" t="s">
        <v>540</v>
      </c>
      <c r="G73" s="20" t="s">
        <v>527</v>
      </c>
      <c r="H73" s="20" t="s">
        <v>328</v>
      </c>
      <c r="I73" s="21"/>
      <c r="J73" s="22">
        <v>85</v>
      </c>
      <c r="K73" s="20">
        <f>"110,8523"</f>
        <v>0</v>
      </c>
      <c r="L73" s="20"/>
    </row>
    <row r="75" spans="1:11" ht="16.5">
      <c r="A75" s="23" t="s">
        <v>63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2" ht="14.25">
      <c r="A76" s="24" t="s">
        <v>2400</v>
      </c>
      <c r="B76" s="24" t="s">
        <v>2401</v>
      </c>
      <c r="C76" s="24" t="s">
        <v>716</v>
      </c>
      <c r="D76" s="24">
        <f>"0,6177"</f>
        <v>0</v>
      </c>
      <c r="E76" s="24" t="s">
        <v>15</v>
      </c>
      <c r="F76" s="24" t="s">
        <v>47</v>
      </c>
      <c r="G76" s="25" t="s">
        <v>240</v>
      </c>
      <c r="H76" s="25" t="s">
        <v>224</v>
      </c>
      <c r="I76" s="25"/>
      <c r="J76" s="26" t="s">
        <v>481</v>
      </c>
      <c r="K76" s="24" t="s">
        <v>2402</v>
      </c>
      <c r="L76" s="24"/>
    </row>
    <row r="77" spans="1:12" ht="14.25">
      <c r="A77" s="16" t="s">
        <v>2403</v>
      </c>
      <c r="B77" s="16" t="s">
        <v>2404</v>
      </c>
      <c r="C77" s="16" t="s">
        <v>2405</v>
      </c>
      <c r="D77" s="16">
        <f>"0,6234"</f>
        <v>0</v>
      </c>
      <c r="E77" s="16" t="s">
        <v>15</v>
      </c>
      <c r="F77" s="16" t="s">
        <v>774</v>
      </c>
      <c r="G77" s="16" t="s">
        <v>672</v>
      </c>
      <c r="H77" s="18" t="s">
        <v>678</v>
      </c>
      <c r="I77" s="18"/>
      <c r="J77" s="19">
        <v>147.5</v>
      </c>
      <c r="K77" s="16">
        <f>"91,9515"</f>
        <v>0</v>
      </c>
      <c r="L77" s="16"/>
    </row>
    <row r="78" spans="1:12" ht="14.25">
      <c r="A78" s="24" t="s">
        <v>2326</v>
      </c>
      <c r="B78" s="24" t="s">
        <v>2327</v>
      </c>
      <c r="C78" s="24" t="s">
        <v>716</v>
      </c>
      <c r="D78" s="24">
        <f>"0,6177"</f>
        <v>0</v>
      </c>
      <c r="E78" s="24" t="s">
        <v>15</v>
      </c>
      <c r="F78" s="25" t="s">
        <v>29</v>
      </c>
      <c r="G78" s="25"/>
      <c r="H78" s="25"/>
      <c r="I78" s="25"/>
      <c r="J78" s="26">
        <v>0</v>
      </c>
      <c r="K78" s="24">
        <f>"0,0000"</f>
        <v>0</v>
      </c>
      <c r="L78" s="24"/>
    </row>
    <row r="79" spans="1:12" ht="14.25">
      <c r="A79" s="24" t="s">
        <v>2406</v>
      </c>
      <c r="B79" s="24" t="s">
        <v>2407</v>
      </c>
      <c r="C79" s="24" t="s">
        <v>266</v>
      </c>
      <c r="D79" s="24">
        <f>"0,6141"</f>
        <v>0</v>
      </c>
      <c r="E79" s="24" t="s">
        <v>15</v>
      </c>
      <c r="F79" s="24" t="s">
        <v>131</v>
      </c>
      <c r="G79" s="24" t="s">
        <v>704</v>
      </c>
      <c r="H79" s="24" t="s">
        <v>798</v>
      </c>
      <c r="I79" s="25"/>
      <c r="J79" s="26">
        <v>202.5</v>
      </c>
      <c r="K79" s="24">
        <f>"124,3654"</f>
        <v>0</v>
      </c>
      <c r="L79" s="24"/>
    </row>
    <row r="80" spans="1:12" ht="14.25">
      <c r="A80" s="24" t="s">
        <v>2408</v>
      </c>
      <c r="B80" s="24" t="s">
        <v>2409</v>
      </c>
      <c r="C80" s="24" t="s">
        <v>2410</v>
      </c>
      <c r="D80" s="24">
        <f>"0,6201"</f>
        <v>0</v>
      </c>
      <c r="E80" s="24" t="s">
        <v>15</v>
      </c>
      <c r="F80" s="24" t="s">
        <v>131</v>
      </c>
      <c r="G80" s="25" t="s">
        <v>212</v>
      </c>
      <c r="H80" s="25" t="s">
        <v>212</v>
      </c>
      <c r="I80" s="25"/>
      <c r="J80" s="26" t="s">
        <v>1044</v>
      </c>
      <c r="K80" s="24" t="s">
        <v>2402</v>
      </c>
      <c r="L80" s="24"/>
    </row>
    <row r="81" spans="1:12" ht="14.25">
      <c r="A81" s="24" t="s">
        <v>2411</v>
      </c>
      <c r="B81" s="24" t="s">
        <v>2412</v>
      </c>
      <c r="C81" s="24" t="s">
        <v>1830</v>
      </c>
      <c r="D81" s="24">
        <f>"0,6165"</f>
        <v>0</v>
      </c>
      <c r="E81" s="24" t="s">
        <v>536</v>
      </c>
      <c r="F81" s="24" t="s">
        <v>246</v>
      </c>
      <c r="G81" s="24" t="s">
        <v>312</v>
      </c>
      <c r="H81" s="25"/>
      <c r="I81" s="25"/>
      <c r="J81" s="26">
        <v>162.5</v>
      </c>
      <c r="K81" s="24">
        <f>"100,1731"</f>
        <v>0</v>
      </c>
      <c r="L81" s="24"/>
    </row>
    <row r="82" spans="1:12" ht="14.25">
      <c r="A82" s="24" t="s">
        <v>2413</v>
      </c>
      <c r="B82" s="24" t="s">
        <v>2414</v>
      </c>
      <c r="C82" s="24" t="s">
        <v>2415</v>
      </c>
      <c r="D82" s="24">
        <f>"0,6238"</f>
        <v>0</v>
      </c>
      <c r="E82" s="24" t="s">
        <v>15</v>
      </c>
      <c r="F82" s="24" t="s">
        <v>35</v>
      </c>
      <c r="G82" s="24" t="s">
        <v>206</v>
      </c>
      <c r="H82" s="24" t="s">
        <v>633</v>
      </c>
      <c r="I82" s="25"/>
      <c r="J82" s="26">
        <v>137.5</v>
      </c>
      <c r="K82" s="24">
        <f>"85,7794"</f>
        <v>0</v>
      </c>
      <c r="L82" s="24"/>
    </row>
    <row r="83" spans="1:12" ht="14.25">
      <c r="A83" s="24" t="s">
        <v>2416</v>
      </c>
      <c r="B83" s="24" t="s">
        <v>2417</v>
      </c>
      <c r="C83" s="24" t="s">
        <v>703</v>
      </c>
      <c r="D83" s="24">
        <f>"0,6181"</f>
        <v>0</v>
      </c>
      <c r="E83" s="24" t="s">
        <v>15</v>
      </c>
      <c r="F83" s="24" t="s">
        <v>22</v>
      </c>
      <c r="G83" s="24" t="s">
        <v>29</v>
      </c>
      <c r="H83" s="24" t="s">
        <v>62</v>
      </c>
      <c r="I83" s="25"/>
      <c r="J83" s="26">
        <v>135</v>
      </c>
      <c r="K83" s="24">
        <f>"83,4435"</f>
        <v>0</v>
      </c>
      <c r="L83" s="24"/>
    </row>
    <row r="84" spans="1:12" ht="14.25">
      <c r="A84" s="24" t="s">
        <v>2418</v>
      </c>
      <c r="B84" s="24" t="s">
        <v>2419</v>
      </c>
      <c r="C84" s="24" t="s">
        <v>2420</v>
      </c>
      <c r="D84" s="24">
        <f>"0,6213"</f>
        <v>0</v>
      </c>
      <c r="E84" s="24" t="s">
        <v>15</v>
      </c>
      <c r="F84" s="25" t="s">
        <v>35</v>
      </c>
      <c r="G84" s="24" t="s">
        <v>206</v>
      </c>
      <c r="H84" s="25" t="s">
        <v>633</v>
      </c>
      <c r="I84" s="25"/>
      <c r="J84" s="26">
        <v>132.5</v>
      </c>
      <c r="K84" s="24">
        <f>"82,3289"</f>
        <v>0</v>
      </c>
      <c r="L84" s="24"/>
    </row>
    <row r="85" spans="1:12" ht="14.25">
      <c r="A85" s="24" t="s">
        <v>2421</v>
      </c>
      <c r="B85" s="24" t="s">
        <v>2422</v>
      </c>
      <c r="C85" s="24" t="s">
        <v>716</v>
      </c>
      <c r="D85" s="24">
        <f>"0,6177"</f>
        <v>0</v>
      </c>
      <c r="E85" s="24" t="s">
        <v>15</v>
      </c>
      <c r="F85" s="24" t="s">
        <v>29</v>
      </c>
      <c r="G85" s="25" t="s">
        <v>1226</v>
      </c>
      <c r="H85" s="24" t="s">
        <v>206</v>
      </c>
      <c r="I85" s="25"/>
      <c r="J85" s="26">
        <v>132.5</v>
      </c>
      <c r="K85" s="24">
        <f>"81,8452"</f>
        <v>0</v>
      </c>
      <c r="L85" s="24"/>
    </row>
    <row r="86" spans="1:12" ht="14.25">
      <c r="A86" s="24" t="s">
        <v>2423</v>
      </c>
      <c r="B86" s="24" t="s">
        <v>2424</v>
      </c>
      <c r="C86" s="24" t="s">
        <v>1289</v>
      </c>
      <c r="D86" s="24">
        <f>"0,6210"</f>
        <v>0</v>
      </c>
      <c r="E86" s="24" t="s">
        <v>15</v>
      </c>
      <c r="F86" s="24" t="s">
        <v>131</v>
      </c>
      <c r="G86" s="25" t="s">
        <v>87</v>
      </c>
      <c r="H86" s="25" t="s">
        <v>87</v>
      </c>
      <c r="I86" s="25"/>
      <c r="J86" s="26" t="s">
        <v>1044</v>
      </c>
      <c r="K86" s="24" t="s">
        <v>2425</v>
      </c>
      <c r="L86" s="24"/>
    </row>
    <row r="87" spans="1:12" ht="14.25">
      <c r="A87" s="24" t="s">
        <v>2411</v>
      </c>
      <c r="B87" s="24" t="s">
        <v>2426</v>
      </c>
      <c r="C87" s="24" t="s">
        <v>1830</v>
      </c>
      <c r="D87" s="24">
        <f>"0,6356"</f>
        <v>0</v>
      </c>
      <c r="E87" s="24" t="s">
        <v>536</v>
      </c>
      <c r="F87" s="24" t="s">
        <v>246</v>
      </c>
      <c r="G87" s="24" t="s">
        <v>312</v>
      </c>
      <c r="H87" s="25" t="s">
        <v>1031</v>
      </c>
      <c r="I87" s="25"/>
      <c r="J87" s="26">
        <v>162.5</v>
      </c>
      <c r="K87" s="24">
        <f>"103,2785"</f>
        <v>0</v>
      </c>
      <c r="L87" s="24"/>
    </row>
    <row r="88" spans="1:12" ht="14.25">
      <c r="A88" s="24" t="s">
        <v>2406</v>
      </c>
      <c r="B88" s="24" t="s">
        <v>2427</v>
      </c>
      <c r="C88" s="24" t="s">
        <v>266</v>
      </c>
      <c r="D88" s="24">
        <f>"0,6479"</f>
        <v>0</v>
      </c>
      <c r="E88" s="24" t="s">
        <v>15</v>
      </c>
      <c r="F88" s="24" t="s">
        <v>131</v>
      </c>
      <c r="G88" s="24" t="s">
        <v>704</v>
      </c>
      <c r="H88" s="24" t="s">
        <v>798</v>
      </c>
      <c r="I88" s="25"/>
      <c r="J88" s="26">
        <v>202.5</v>
      </c>
      <c r="K88" s="24">
        <f>"131,2055"</f>
        <v>0</v>
      </c>
      <c r="L88" s="24"/>
    </row>
    <row r="89" spans="1:12" ht="14.25">
      <c r="A89" s="24" t="s">
        <v>2428</v>
      </c>
      <c r="B89" s="24" t="s">
        <v>2429</v>
      </c>
      <c r="C89" s="24" t="s">
        <v>1609</v>
      </c>
      <c r="D89" s="24">
        <f>"0,6547"</f>
        <v>0</v>
      </c>
      <c r="E89" s="24" t="s">
        <v>15</v>
      </c>
      <c r="F89" s="24" t="s">
        <v>486</v>
      </c>
      <c r="G89" s="25" t="s">
        <v>46</v>
      </c>
      <c r="H89" s="24" t="s">
        <v>46</v>
      </c>
      <c r="I89" s="25"/>
      <c r="J89" s="26">
        <v>170</v>
      </c>
      <c r="K89" s="24">
        <f>"111,2963"</f>
        <v>0</v>
      </c>
      <c r="L89" s="24"/>
    </row>
    <row r="90" spans="1:12" ht="14.25">
      <c r="A90" s="24" t="s">
        <v>2430</v>
      </c>
      <c r="B90" s="24" t="s">
        <v>2431</v>
      </c>
      <c r="C90" s="24" t="s">
        <v>1289</v>
      </c>
      <c r="D90" s="24">
        <f>"0,6745"</f>
        <v>0</v>
      </c>
      <c r="E90" s="24" t="s">
        <v>15</v>
      </c>
      <c r="F90" s="24" t="s">
        <v>35</v>
      </c>
      <c r="G90" s="24" t="s">
        <v>206</v>
      </c>
      <c r="H90" s="25" t="s">
        <v>62</v>
      </c>
      <c r="I90" s="25"/>
      <c r="J90" s="26">
        <v>132.5</v>
      </c>
      <c r="K90" s="24">
        <f>"89,3773"</f>
        <v>0</v>
      </c>
      <c r="L90" s="24"/>
    </row>
    <row r="91" spans="1:12" ht="14.25">
      <c r="A91" s="24" t="s">
        <v>2432</v>
      </c>
      <c r="B91" s="24" t="s">
        <v>2433</v>
      </c>
      <c r="C91" s="24" t="s">
        <v>703</v>
      </c>
      <c r="D91" s="24">
        <f>"0,6688"</f>
        <v>0</v>
      </c>
      <c r="E91" s="24" t="s">
        <v>15</v>
      </c>
      <c r="F91" s="25" t="s">
        <v>486</v>
      </c>
      <c r="G91" s="25" t="s">
        <v>486</v>
      </c>
      <c r="H91" s="25" t="s">
        <v>486</v>
      </c>
      <c r="I91" s="25"/>
      <c r="J91" s="26">
        <v>0</v>
      </c>
      <c r="K91" s="24">
        <f>"0,0000"</f>
        <v>0</v>
      </c>
      <c r="L91" s="24"/>
    </row>
    <row r="92" spans="1:12" ht="14.25">
      <c r="A92" s="20" t="s">
        <v>2434</v>
      </c>
      <c r="B92" s="20" t="s">
        <v>2435</v>
      </c>
      <c r="C92" s="20" t="s">
        <v>2436</v>
      </c>
      <c r="D92" s="20">
        <f>"0,8989"</f>
        <v>0</v>
      </c>
      <c r="E92" s="20" t="s">
        <v>15</v>
      </c>
      <c r="F92" s="20" t="s">
        <v>30</v>
      </c>
      <c r="G92" s="20" t="s">
        <v>36</v>
      </c>
      <c r="H92" s="21" t="s">
        <v>120</v>
      </c>
      <c r="I92" s="21"/>
      <c r="J92" s="22">
        <v>140</v>
      </c>
      <c r="K92" s="20">
        <f>"125,8494"</f>
        <v>0</v>
      </c>
      <c r="L92" s="20"/>
    </row>
    <row r="94" spans="1:11" ht="16.5">
      <c r="A94" s="23" t="s">
        <v>69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2" ht="14.25">
      <c r="A95" s="16" t="s">
        <v>2437</v>
      </c>
      <c r="B95" s="16" t="s">
        <v>2438</v>
      </c>
      <c r="C95" s="16" t="s">
        <v>764</v>
      </c>
      <c r="D95" s="16">
        <f>"0,5891"</f>
        <v>0</v>
      </c>
      <c r="E95" s="16" t="s">
        <v>15</v>
      </c>
      <c r="F95" s="16" t="s">
        <v>18</v>
      </c>
      <c r="G95" s="16" t="s">
        <v>29</v>
      </c>
      <c r="H95" s="18" t="s">
        <v>35</v>
      </c>
      <c r="I95" s="18"/>
      <c r="J95" s="19">
        <v>120</v>
      </c>
      <c r="K95" s="16">
        <f>"70,6920"</f>
        <v>0</v>
      </c>
      <c r="L95" s="16"/>
    </row>
    <row r="96" spans="1:12" ht="14.25">
      <c r="A96" s="24" t="s">
        <v>2439</v>
      </c>
      <c r="B96" s="24" t="s">
        <v>2440</v>
      </c>
      <c r="C96" s="24" t="s">
        <v>2441</v>
      </c>
      <c r="D96" s="24">
        <f>"0,5875"</f>
        <v>0</v>
      </c>
      <c r="E96" s="24" t="s">
        <v>15</v>
      </c>
      <c r="F96" s="25" t="s">
        <v>260</v>
      </c>
      <c r="G96" s="24" t="s">
        <v>260</v>
      </c>
      <c r="H96" s="25" t="s">
        <v>18</v>
      </c>
      <c r="I96" s="25"/>
      <c r="J96" s="26">
        <v>107.5</v>
      </c>
      <c r="K96" s="24">
        <f>"63,1509"</f>
        <v>0</v>
      </c>
      <c r="L96" s="24"/>
    </row>
    <row r="97" spans="1:12" ht="14.25">
      <c r="A97" s="24" t="s">
        <v>70</v>
      </c>
      <c r="B97" s="24" t="s">
        <v>71</v>
      </c>
      <c r="C97" s="24" t="s">
        <v>278</v>
      </c>
      <c r="D97" s="24">
        <f>"0,5840"</f>
        <v>0</v>
      </c>
      <c r="E97" s="24" t="s">
        <v>15</v>
      </c>
      <c r="F97" s="24" t="s">
        <v>678</v>
      </c>
      <c r="G97" s="24" t="s">
        <v>1347</v>
      </c>
      <c r="H97" s="25" t="s">
        <v>312</v>
      </c>
      <c r="I97" s="25"/>
      <c r="J97" s="26">
        <v>157.5</v>
      </c>
      <c r="K97" s="24">
        <f>"91,9879"</f>
        <v>0</v>
      </c>
      <c r="L97" s="24"/>
    </row>
    <row r="98" spans="1:12" ht="14.25">
      <c r="A98" s="24" t="s">
        <v>2442</v>
      </c>
      <c r="B98" s="24" t="s">
        <v>2443</v>
      </c>
      <c r="C98" s="24" t="s">
        <v>1853</v>
      </c>
      <c r="D98" s="24">
        <f>"0,5843"</f>
        <v>0</v>
      </c>
      <c r="E98" s="24" t="s">
        <v>15</v>
      </c>
      <c r="F98" s="24" t="s">
        <v>74</v>
      </c>
      <c r="G98" s="24" t="s">
        <v>83</v>
      </c>
      <c r="H98" s="24" t="s">
        <v>78</v>
      </c>
      <c r="I98" s="25"/>
      <c r="J98" s="26">
        <v>230</v>
      </c>
      <c r="K98" s="24">
        <f>"134,3890"</f>
        <v>0</v>
      </c>
      <c r="L98" s="24"/>
    </row>
    <row r="99" spans="1:12" ht="14.25">
      <c r="A99" s="24" t="s">
        <v>2444</v>
      </c>
      <c r="B99" s="24" t="s">
        <v>2445</v>
      </c>
      <c r="C99" s="24" t="s">
        <v>2446</v>
      </c>
      <c r="D99" s="24">
        <f>"0,5848"</f>
        <v>0</v>
      </c>
      <c r="E99" s="24" t="s">
        <v>15</v>
      </c>
      <c r="F99" s="24" t="s">
        <v>240</v>
      </c>
      <c r="G99" s="24" t="s">
        <v>224</v>
      </c>
      <c r="H99" s="24" t="s">
        <v>212</v>
      </c>
      <c r="I99" s="25"/>
      <c r="J99" s="26">
        <v>195</v>
      </c>
      <c r="K99" s="24">
        <f>"114,0360"</f>
        <v>0</v>
      </c>
      <c r="L99" s="24"/>
    </row>
    <row r="100" spans="1:12" ht="14.25">
      <c r="A100" s="24" t="s">
        <v>2447</v>
      </c>
      <c r="B100" s="24" t="s">
        <v>2448</v>
      </c>
      <c r="C100" s="24" t="s">
        <v>1850</v>
      </c>
      <c r="D100" s="24">
        <f>"0,5984"</f>
        <v>0</v>
      </c>
      <c r="E100" s="24" t="s">
        <v>15</v>
      </c>
      <c r="F100" s="24" t="s">
        <v>46</v>
      </c>
      <c r="G100" s="24" t="s">
        <v>131</v>
      </c>
      <c r="H100" s="25" t="s">
        <v>212</v>
      </c>
      <c r="I100" s="25"/>
      <c r="J100" s="26">
        <v>190</v>
      </c>
      <c r="K100" s="24">
        <f>"113,6960"</f>
        <v>0</v>
      </c>
      <c r="L100" s="24"/>
    </row>
    <row r="101" spans="1:12" ht="14.25">
      <c r="A101" s="24" t="s">
        <v>2449</v>
      </c>
      <c r="B101" s="24" t="s">
        <v>2450</v>
      </c>
      <c r="C101" s="24" t="s">
        <v>2451</v>
      </c>
      <c r="D101" s="24">
        <f>"0,5859"</f>
        <v>0</v>
      </c>
      <c r="E101" s="24" t="s">
        <v>15</v>
      </c>
      <c r="F101" s="24" t="s">
        <v>312</v>
      </c>
      <c r="G101" s="25" t="s">
        <v>1031</v>
      </c>
      <c r="H101" s="25" t="s">
        <v>1031</v>
      </c>
      <c r="I101" s="25" t="s">
        <v>2452</v>
      </c>
      <c r="J101" s="26" t="s">
        <v>312</v>
      </c>
      <c r="K101" s="24" t="s">
        <v>2453</v>
      </c>
      <c r="L101" s="24"/>
    </row>
    <row r="102" spans="1:12" ht="14.25">
      <c r="A102" s="24" t="s">
        <v>2259</v>
      </c>
      <c r="B102" s="24" t="s">
        <v>2260</v>
      </c>
      <c r="C102" s="24" t="s">
        <v>1632</v>
      </c>
      <c r="D102" s="24">
        <f>"0,5846"</f>
        <v>0</v>
      </c>
      <c r="E102" s="24" t="s">
        <v>58</v>
      </c>
      <c r="F102" s="24" t="s">
        <v>54</v>
      </c>
      <c r="G102" s="25" t="s">
        <v>92</v>
      </c>
      <c r="H102" s="25" t="s">
        <v>92</v>
      </c>
      <c r="I102" s="25"/>
      <c r="J102" s="26" t="s">
        <v>895</v>
      </c>
      <c r="K102" s="24" t="s">
        <v>2454</v>
      </c>
      <c r="L102" s="24"/>
    </row>
    <row r="103" spans="1:12" ht="14.25">
      <c r="A103" s="24" t="s">
        <v>2455</v>
      </c>
      <c r="B103" s="24" t="s">
        <v>2456</v>
      </c>
      <c r="C103" s="24" t="s">
        <v>91</v>
      </c>
      <c r="D103" s="24">
        <f>"0,5880"</f>
        <v>0</v>
      </c>
      <c r="E103" s="24" t="s">
        <v>15</v>
      </c>
      <c r="F103" s="25" t="s">
        <v>30</v>
      </c>
      <c r="G103" s="25" t="s">
        <v>36</v>
      </c>
      <c r="H103" s="25" t="s">
        <v>36</v>
      </c>
      <c r="I103" s="25"/>
      <c r="J103" s="26" t="s">
        <v>2452</v>
      </c>
      <c r="K103" s="24">
        <f>"0,0000"</f>
        <v>0</v>
      </c>
      <c r="L103" s="24"/>
    </row>
    <row r="104" spans="1:12" ht="14.25">
      <c r="A104" s="24" t="s">
        <v>2457</v>
      </c>
      <c r="B104" s="24" t="s">
        <v>2458</v>
      </c>
      <c r="C104" s="24" t="s">
        <v>2459</v>
      </c>
      <c r="D104" s="24">
        <f>"0,6038"</f>
        <v>0</v>
      </c>
      <c r="E104" s="24" t="s">
        <v>15</v>
      </c>
      <c r="F104" s="24" t="s">
        <v>486</v>
      </c>
      <c r="G104" s="25" t="s">
        <v>92</v>
      </c>
      <c r="H104" s="24" t="s">
        <v>92</v>
      </c>
      <c r="I104" s="25"/>
      <c r="J104" s="26">
        <v>165</v>
      </c>
      <c r="K104" s="24">
        <f>"99,6252"</f>
        <v>0</v>
      </c>
      <c r="L104" s="24"/>
    </row>
    <row r="105" spans="1:12" ht="14.25">
      <c r="A105" s="24" t="s">
        <v>2460</v>
      </c>
      <c r="B105" s="24" t="s">
        <v>2461</v>
      </c>
      <c r="C105" s="24" t="s">
        <v>777</v>
      </c>
      <c r="D105" s="24">
        <f>"0,6358"</f>
        <v>0</v>
      </c>
      <c r="E105" s="24" t="s">
        <v>15</v>
      </c>
      <c r="F105" s="25" t="s">
        <v>54</v>
      </c>
      <c r="G105" s="24" t="s">
        <v>54</v>
      </c>
      <c r="H105" s="24" t="s">
        <v>486</v>
      </c>
      <c r="I105" s="25"/>
      <c r="J105" s="26">
        <v>160</v>
      </c>
      <c r="K105" s="24">
        <f>"101,7273"</f>
        <v>0</v>
      </c>
      <c r="L105" s="24"/>
    </row>
    <row r="106" spans="1:12" ht="14.25">
      <c r="A106" s="24" t="s">
        <v>2462</v>
      </c>
      <c r="B106" s="24" t="s">
        <v>2463</v>
      </c>
      <c r="C106" s="24" t="s">
        <v>1621</v>
      </c>
      <c r="D106" s="24">
        <f>"0,6594"</f>
        <v>0</v>
      </c>
      <c r="E106" s="24" t="s">
        <v>15</v>
      </c>
      <c r="F106" s="24" t="s">
        <v>92</v>
      </c>
      <c r="G106" s="24" t="s">
        <v>93</v>
      </c>
      <c r="H106" s="25" t="s">
        <v>47</v>
      </c>
      <c r="I106" s="25"/>
      <c r="J106" s="26">
        <v>175</v>
      </c>
      <c r="K106" s="24">
        <f>"115,3970"</f>
        <v>0</v>
      </c>
      <c r="L106" s="24"/>
    </row>
    <row r="107" spans="1:12" ht="14.25">
      <c r="A107" s="24" t="s">
        <v>2464</v>
      </c>
      <c r="B107" s="24" t="s">
        <v>2465</v>
      </c>
      <c r="C107" s="24" t="s">
        <v>1853</v>
      </c>
      <c r="D107" s="24">
        <f>"0,7035"</f>
        <v>0</v>
      </c>
      <c r="E107" s="24" t="s">
        <v>15</v>
      </c>
      <c r="F107" s="24" t="s">
        <v>92</v>
      </c>
      <c r="G107" s="24" t="s">
        <v>46</v>
      </c>
      <c r="H107" s="25" t="s">
        <v>653</v>
      </c>
      <c r="I107" s="25"/>
      <c r="J107" s="26">
        <v>170</v>
      </c>
      <c r="K107" s="24">
        <f>"119,5945"</f>
        <v>0</v>
      </c>
      <c r="L107" s="24"/>
    </row>
    <row r="108" spans="1:12" ht="14.25">
      <c r="A108" s="24" t="s">
        <v>80</v>
      </c>
      <c r="B108" s="24" t="s">
        <v>81</v>
      </c>
      <c r="C108" s="24" t="s">
        <v>72</v>
      </c>
      <c r="D108" s="24">
        <f>"0,7693"</f>
        <v>0</v>
      </c>
      <c r="E108" s="24" t="s">
        <v>15</v>
      </c>
      <c r="F108" s="24" t="s">
        <v>36</v>
      </c>
      <c r="G108" s="24" t="s">
        <v>672</v>
      </c>
      <c r="H108" s="24" t="s">
        <v>678</v>
      </c>
      <c r="I108" s="25"/>
      <c r="J108" s="26">
        <v>152.5</v>
      </c>
      <c r="K108" s="24">
        <f>"117,3245"</f>
        <v>0</v>
      </c>
      <c r="L108" s="24"/>
    </row>
    <row r="109" spans="1:12" ht="14.25">
      <c r="A109" s="24" t="s">
        <v>2466</v>
      </c>
      <c r="B109" s="24" t="s">
        <v>2467</v>
      </c>
      <c r="C109" s="24" t="s">
        <v>2468</v>
      </c>
      <c r="D109" s="24">
        <f>"0,7750"</f>
        <v>0</v>
      </c>
      <c r="E109" s="24" t="s">
        <v>15</v>
      </c>
      <c r="F109" s="24" t="s">
        <v>36</v>
      </c>
      <c r="G109" s="24" t="s">
        <v>120</v>
      </c>
      <c r="H109" s="25" t="s">
        <v>54</v>
      </c>
      <c r="I109" s="25"/>
      <c r="J109" s="26">
        <v>145</v>
      </c>
      <c r="K109" s="24">
        <f>"112,3732"</f>
        <v>0</v>
      </c>
      <c r="L109" s="24"/>
    </row>
    <row r="110" spans="1:12" ht="14.25">
      <c r="A110" s="20" t="s">
        <v>771</v>
      </c>
      <c r="B110" s="20" t="s">
        <v>772</v>
      </c>
      <c r="C110" s="20" t="s">
        <v>767</v>
      </c>
      <c r="D110" s="20">
        <f>"0,7671"</f>
        <v>0</v>
      </c>
      <c r="E110" s="20" t="s">
        <v>638</v>
      </c>
      <c r="F110" s="20" t="s">
        <v>62</v>
      </c>
      <c r="G110" s="21" t="s">
        <v>36</v>
      </c>
      <c r="H110" s="20" t="s">
        <v>36</v>
      </c>
      <c r="I110" s="21"/>
      <c r="J110" s="22">
        <v>140</v>
      </c>
      <c r="K110" s="20">
        <f>"107,3996"</f>
        <v>0</v>
      </c>
      <c r="L110" s="20"/>
    </row>
    <row r="112" spans="1:11" ht="16.5">
      <c r="A112" s="23" t="s">
        <v>94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2" ht="14.25">
      <c r="A113" s="16" t="s">
        <v>2469</v>
      </c>
      <c r="B113" s="16" t="s">
        <v>2470</v>
      </c>
      <c r="C113" s="16" t="s">
        <v>1875</v>
      </c>
      <c r="D113" s="16">
        <f>"0,5670"</f>
        <v>0</v>
      </c>
      <c r="E113" s="16" t="s">
        <v>228</v>
      </c>
      <c r="F113" s="16" t="s">
        <v>87</v>
      </c>
      <c r="G113" s="16" t="s">
        <v>792</v>
      </c>
      <c r="H113" s="16" t="s">
        <v>88</v>
      </c>
      <c r="I113" s="18"/>
      <c r="J113" s="19">
        <v>210</v>
      </c>
      <c r="K113" s="16">
        <f>"119,0595"</f>
        <v>0</v>
      </c>
      <c r="L113" s="16"/>
    </row>
    <row r="114" spans="1:12" ht="14.25">
      <c r="A114" s="24" t="s">
        <v>2471</v>
      </c>
      <c r="B114" s="24" t="s">
        <v>2472</v>
      </c>
      <c r="C114" s="24" t="s">
        <v>302</v>
      </c>
      <c r="D114" s="24">
        <f>"0,5765"</f>
        <v>0</v>
      </c>
      <c r="E114" s="24" t="s">
        <v>15</v>
      </c>
      <c r="F114" s="24" t="s">
        <v>46</v>
      </c>
      <c r="G114" s="25" t="s">
        <v>47</v>
      </c>
      <c r="H114" s="24" t="s">
        <v>47</v>
      </c>
      <c r="I114" s="25"/>
      <c r="J114" s="26">
        <v>180</v>
      </c>
      <c r="K114" s="24">
        <f>"103,7700"</f>
        <v>0</v>
      </c>
      <c r="L114" s="24"/>
    </row>
    <row r="115" spans="1:12" ht="14.25">
      <c r="A115" s="24" t="s">
        <v>2473</v>
      </c>
      <c r="B115" s="24" t="s">
        <v>2474</v>
      </c>
      <c r="C115" s="24" t="s">
        <v>440</v>
      </c>
      <c r="D115" s="24">
        <f>"0,5625"</f>
        <v>0</v>
      </c>
      <c r="E115" s="24" t="s">
        <v>15</v>
      </c>
      <c r="F115" s="24" t="s">
        <v>93</v>
      </c>
      <c r="G115" s="25" t="s">
        <v>240</v>
      </c>
      <c r="H115" s="25" t="s">
        <v>240</v>
      </c>
      <c r="I115" s="25"/>
      <c r="J115" s="26">
        <v>175</v>
      </c>
      <c r="K115" s="24">
        <f>"98,4375"</f>
        <v>0</v>
      </c>
      <c r="L115" s="24"/>
    </row>
    <row r="116" spans="1:12" ht="14.25">
      <c r="A116" s="24" t="s">
        <v>2475</v>
      </c>
      <c r="B116" s="24" t="s">
        <v>2476</v>
      </c>
      <c r="C116" s="24" t="s">
        <v>1887</v>
      </c>
      <c r="D116" s="24">
        <f>"0,5648"</f>
        <v>0</v>
      </c>
      <c r="E116" s="24" t="s">
        <v>15</v>
      </c>
      <c r="F116" s="24" t="s">
        <v>678</v>
      </c>
      <c r="G116" s="24" t="s">
        <v>312</v>
      </c>
      <c r="H116" s="25" t="s">
        <v>1031</v>
      </c>
      <c r="I116" s="25"/>
      <c r="J116" s="26">
        <v>162.5</v>
      </c>
      <c r="K116" s="24">
        <f>"91,7881"</f>
        <v>0</v>
      </c>
      <c r="L116" s="24"/>
    </row>
    <row r="117" spans="1:12" ht="14.25">
      <c r="A117" s="24" t="s">
        <v>2477</v>
      </c>
      <c r="B117" s="24" t="s">
        <v>2073</v>
      </c>
      <c r="C117" s="24" t="s">
        <v>2478</v>
      </c>
      <c r="D117" s="24">
        <f>"0,5844"</f>
        <v>0</v>
      </c>
      <c r="E117" s="24" t="s">
        <v>15</v>
      </c>
      <c r="F117" s="24" t="s">
        <v>46</v>
      </c>
      <c r="G117" s="24" t="s">
        <v>93</v>
      </c>
      <c r="H117" s="24" t="s">
        <v>47</v>
      </c>
      <c r="I117" s="25"/>
      <c r="J117" s="26">
        <v>180</v>
      </c>
      <c r="K117" s="24">
        <f>"105,1936"</f>
        <v>0</v>
      </c>
      <c r="L117" s="24"/>
    </row>
    <row r="118" spans="1:12" ht="14.25">
      <c r="A118" s="24" t="s">
        <v>2479</v>
      </c>
      <c r="B118" s="24" t="s">
        <v>2480</v>
      </c>
      <c r="C118" s="24" t="s">
        <v>1108</v>
      </c>
      <c r="D118" s="24">
        <f>"0,5907"</f>
        <v>0</v>
      </c>
      <c r="E118" s="24" t="s">
        <v>15</v>
      </c>
      <c r="F118" s="24" t="s">
        <v>1031</v>
      </c>
      <c r="G118" s="24" t="s">
        <v>626</v>
      </c>
      <c r="H118" s="25" t="s">
        <v>93</v>
      </c>
      <c r="I118" s="25"/>
      <c r="J118" s="26">
        <v>172.5</v>
      </c>
      <c r="K118" s="24">
        <f>"101,9015"</f>
        <v>0</v>
      </c>
      <c r="L118" s="24"/>
    </row>
    <row r="119" spans="1:12" ht="14.25">
      <c r="A119" s="24" t="s">
        <v>2481</v>
      </c>
      <c r="B119" s="24" t="s">
        <v>2482</v>
      </c>
      <c r="C119" s="24" t="s">
        <v>2483</v>
      </c>
      <c r="D119" s="24">
        <f>"0,5741"</f>
        <v>0</v>
      </c>
      <c r="E119" s="24" t="s">
        <v>15</v>
      </c>
      <c r="F119" s="24" t="s">
        <v>486</v>
      </c>
      <c r="G119" s="25" t="s">
        <v>46</v>
      </c>
      <c r="H119" s="24" t="s">
        <v>46</v>
      </c>
      <c r="I119" s="25"/>
      <c r="J119" s="26">
        <v>170</v>
      </c>
      <c r="K119" s="24">
        <f>"97,6029"</f>
        <v>0</v>
      </c>
      <c r="L119" s="24"/>
    </row>
    <row r="120" spans="1:12" ht="14.25">
      <c r="A120" s="24" t="s">
        <v>2484</v>
      </c>
      <c r="B120" s="24" t="s">
        <v>2485</v>
      </c>
      <c r="C120" s="24" t="s">
        <v>2486</v>
      </c>
      <c r="D120" s="24">
        <f>"0,6185"</f>
        <v>0</v>
      </c>
      <c r="E120" s="24" t="s">
        <v>15</v>
      </c>
      <c r="F120" s="24" t="s">
        <v>92</v>
      </c>
      <c r="G120" s="25" t="s">
        <v>46</v>
      </c>
      <c r="H120" s="25" t="s">
        <v>46</v>
      </c>
      <c r="I120" s="25"/>
      <c r="J120" s="26" t="s">
        <v>92</v>
      </c>
      <c r="K120" s="24" t="s">
        <v>2487</v>
      </c>
      <c r="L120" s="24"/>
    </row>
    <row r="121" spans="1:12" ht="14.25">
      <c r="A121" s="24" t="s">
        <v>2334</v>
      </c>
      <c r="B121" s="24" t="s">
        <v>2488</v>
      </c>
      <c r="C121" s="24" t="s">
        <v>2206</v>
      </c>
      <c r="D121" s="24">
        <f>"0,6567"</f>
        <v>0</v>
      </c>
      <c r="E121" s="24" t="s">
        <v>15</v>
      </c>
      <c r="F121" s="25" t="s">
        <v>54</v>
      </c>
      <c r="G121" s="24" t="s">
        <v>54</v>
      </c>
      <c r="H121" s="24" t="s">
        <v>678</v>
      </c>
      <c r="I121" s="25"/>
      <c r="J121" s="26">
        <v>152.5</v>
      </c>
      <c r="K121" s="24">
        <f>"100,1490"</f>
        <v>0</v>
      </c>
      <c r="L121" s="24"/>
    </row>
    <row r="122" spans="1:12" ht="14.25">
      <c r="A122" s="24" t="s">
        <v>2210</v>
      </c>
      <c r="B122" s="24" t="s">
        <v>2211</v>
      </c>
      <c r="C122" s="24" t="s">
        <v>1652</v>
      </c>
      <c r="D122" s="24">
        <f>"0,7076"</f>
        <v>0</v>
      </c>
      <c r="E122" s="24" t="s">
        <v>15</v>
      </c>
      <c r="F122" s="24" t="s">
        <v>30</v>
      </c>
      <c r="G122" s="24" t="s">
        <v>36</v>
      </c>
      <c r="H122" s="24" t="s">
        <v>120</v>
      </c>
      <c r="I122" s="25"/>
      <c r="J122" s="26">
        <v>145</v>
      </c>
      <c r="K122" s="24">
        <f>"102,5962"</f>
        <v>0</v>
      </c>
      <c r="L122" s="24"/>
    </row>
    <row r="123" spans="1:12" ht="14.25">
      <c r="A123" s="20" t="s">
        <v>2489</v>
      </c>
      <c r="B123" s="20" t="s">
        <v>2490</v>
      </c>
      <c r="C123" s="20" t="s">
        <v>1655</v>
      </c>
      <c r="D123" s="20">
        <f>"0,7099"</f>
        <v>0</v>
      </c>
      <c r="E123" s="20" t="s">
        <v>15</v>
      </c>
      <c r="F123" s="20" t="s">
        <v>30</v>
      </c>
      <c r="G123" s="20" t="s">
        <v>774</v>
      </c>
      <c r="H123" s="21" t="s">
        <v>672</v>
      </c>
      <c r="I123" s="21"/>
      <c r="J123" s="22">
        <v>142.5</v>
      </c>
      <c r="K123" s="20">
        <f>"101,1620"</f>
        <v>0</v>
      </c>
      <c r="L123" s="20"/>
    </row>
    <row r="125" spans="1:11" ht="16.5">
      <c r="A125" s="23" t="s">
        <v>127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2" ht="14.25">
      <c r="A126" s="16" t="s">
        <v>2491</v>
      </c>
      <c r="B126" s="16" t="s">
        <v>2492</v>
      </c>
      <c r="C126" s="16" t="s">
        <v>2493</v>
      </c>
      <c r="D126" s="16">
        <f>"0,5522"</f>
        <v>0</v>
      </c>
      <c r="E126" s="16" t="s">
        <v>15</v>
      </c>
      <c r="F126" s="16" t="s">
        <v>131</v>
      </c>
      <c r="G126" s="16" t="s">
        <v>212</v>
      </c>
      <c r="H126" s="18" t="s">
        <v>87</v>
      </c>
      <c r="I126" s="18"/>
      <c r="J126" s="19">
        <v>195</v>
      </c>
      <c r="K126" s="16">
        <f>"107,6790"</f>
        <v>0</v>
      </c>
      <c r="L126" s="16"/>
    </row>
    <row r="127" spans="1:12" ht="14.25">
      <c r="A127" s="24" t="s">
        <v>2494</v>
      </c>
      <c r="B127" s="24" t="s">
        <v>1812</v>
      </c>
      <c r="C127" s="24" t="s">
        <v>2495</v>
      </c>
      <c r="D127" s="24">
        <f>"0,5526"</f>
        <v>0</v>
      </c>
      <c r="E127" s="24" t="s">
        <v>15</v>
      </c>
      <c r="F127" s="24" t="s">
        <v>47</v>
      </c>
      <c r="G127" s="25" t="s">
        <v>131</v>
      </c>
      <c r="H127" s="25" t="s">
        <v>131</v>
      </c>
      <c r="I127" s="25"/>
      <c r="J127" s="26" t="s">
        <v>481</v>
      </c>
      <c r="K127" s="24" t="s">
        <v>2496</v>
      </c>
      <c r="L127" s="24"/>
    </row>
    <row r="128" spans="1:12" ht="14.25">
      <c r="A128" s="24" t="s">
        <v>2497</v>
      </c>
      <c r="B128" s="24" t="s">
        <v>2498</v>
      </c>
      <c r="C128" s="24" t="s">
        <v>2499</v>
      </c>
      <c r="D128" s="24">
        <f>"0,5558"</f>
        <v>0</v>
      </c>
      <c r="E128" s="24" t="s">
        <v>15</v>
      </c>
      <c r="F128" s="24" t="s">
        <v>36</v>
      </c>
      <c r="G128" s="24" t="s">
        <v>678</v>
      </c>
      <c r="H128" s="24" t="s">
        <v>486</v>
      </c>
      <c r="I128" s="25"/>
      <c r="J128" s="26">
        <v>160</v>
      </c>
      <c r="K128" s="24">
        <f>"88,9200"</f>
        <v>0</v>
      </c>
      <c r="L128" s="24"/>
    </row>
    <row r="129" spans="1:12" ht="14.25">
      <c r="A129" s="24" t="s">
        <v>2500</v>
      </c>
      <c r="B129" s="24" t="s">
        <v>2501</v>
      </c>
      <c r="C129" s="24" t="s">
        <v>866</v>
      </c>
      <c r="D129" s="24">
        <f>"0,5454"</f>
        <v>0</v>
      </c>
      <c r="E129" s="24" t="s">
        <v>15</v>
      </c>
      <c r="F129" s="25" t="s">
        <v>54</v>
      </c>
      <c r="G129" s="24" t="s">
        <v>54</v>
      </c>
      <c r="H129" s="25" t="s">
        <v>47</v>
      </c>
      <c r="I129" s="25"/>
      <c r="J129" s="26">
        <v>150</v>
      </c>
      <c r="K129" s="24">
        <f>"81,8100"</f>
        <v>0</v>
      </c>
      <c r="L129" s="24"/>
    </row>
    <row r="130" spans="1:12" ht="14.25">
      <c r="A130" s="24" t="s">
        <v>2502</v>
      </c>
      <c r="B130" s="24" t="s">
        <v>2503</v>
      </c>
      <c r="C130" s="24" t="s">
        <v>2504</v>
      </c>
      <c r="D130" s="24">
        <f>"0,5667"</f>
        <v>0</v>
      </c>
      <c r="E130" s="24" t="s">
        <v>15</v>
      </c>
      <c r="F130" s="24" t="s">
        <v>93</v>
      </c>
      <c r="G130" s="24" t="s">
        <v>240</v>
      </c>
      <c r="H130" s="24" t="s">
        <v>620</v>
      </c>
      <c r="I130" s="25"/>
      <c r="J130" s="26">
        <v>192.5</v>
      </c>
      <c r="K130" s="24">
        <f>"109,0976"</f>
        <v>0</v>
      </c>
      <c r="L130" s="24"/>
    </row>
    <row r="131" spans="1:12" ht="14.25">
      <c r="A131" s="24" t="s">
        <v>2505</v>
      </c>
      <c r="B131" s="24" t="s">
        <v>2506</v>
      </c>
      <c r="C131" s="24" t="s">
        <v>461</v>
      </c>
      <c r="D131" s="24">
        <f>"0,5494"</f>
        <v>0</v>
      </c>
      <c r="E131" s="24" t="s">
        <v>15</v>
      </c>
      <c r="F131" s="25" t="s">
        <v>93</v>
      </c>
      <c r="G131" s="25" t="s">
        <v>93</v>
      </c>
      <c r="H131" s="25" t="s">
        <v>93</v>
      </c>
      <c r="I131" s="25"/>
      <c r="J131" s="26">
        <v>0</v>
      </c>
      <c r="K131" s="24">
        <f>"0,0000"</f>
        <v>0</v>
      </c>
      <c r="L131" s="24"/>
    </row>
    <row r="132" spans="1:12" ht="14.25">
      <c r="A132" s="24" t="s">
        <v>2507</v>
      </c>
      <c r="B132" s="24" t="s">
        <v>2508</v>
      </c>
      <c r="C132" s="24" t="s">
        <v>2509</v>
      </c>
      <c r="D132" s="24">
        <f>"0,5757"</f>
        <v>0</v>
      </c>
      <c r="E132" s="24" t="s">
        <v>15</v>
      </c>
      <c r="F132" s="24" t="s">
        <v>224</v>
      </c>
      <c r="G132" s="24" t="s">
        <v>620</v>
      </c>
      <c r="H132" s="24" t="s">
        <v>212</v>
      </c>
      <c r="I132" s="25"/>
      <c r="J132" s="26">
        <v>195</v>
      </c>
      <c r="K132" s="24">
        <f>"112,2538"</f>
        <v>0</v>
      </c>
      <c r="L132" s="24"/>
    </row>
    <row r="133" spans="1:12" ht="14.25">
      <c r="A133" s="24" t="s">
        <v>2510</v>
      </c>
      <c r="B133" s="24" t="s">
        <v>2511</v>
      </c>
      <c r="C133" s="24" t="s">
        <v>2512</v>
      </c>
      <c r="D133" s="24">
        <f>"0,5859"</f>
        <v>0</v>
      </c>
      <c r="E133" s="24" t="s">
        <v>638</v>
      </c>
      <c r="F133" s="24" t="s">
        <v>626</v>
      </c>
      <c r="G133" s="24" t="s">
        <v>93</v>
      </c>
      <c r="H133" s="25" t="s">
        <v>47</v>
      </c>
      <c r="I133" s="25"/>
      <c r="J133" s="26">
        <v>175</v>
      </c>
      <c r="K133" s="24">
        <f>"102,5315"</f>
        <v>0</v>
      </c>
      <c r="L133" s="24"/>
    </row>
    <row r="134" spans="1:12" ht="14.25">
      <c r="A134" s="24" t="s">
        <v>2513</v>
      </c>
      <c r="B134" s="24" t="s">
        <v>2514</v>
      </c>
      <c r="C134" s="24" t="s">
        <v>130</v>
      </c>
      <c r="D134" s="24">
        <f>"0,6023"</f>
        <v>0</v>
      </c>
      <c r="E134" s="24" t="s">
        <v>15</v>
      </c>
      <c r="F134" s="24" t="s">
        <v>626</v>
      </c>
      <c r="G134" s="24" t="s">
        <v>626</v>
      </c>
      <c r="H134" s="25" t="s">
        <v>653</v>
      </c>
      <c r="I134" s="25"/>
      <c r="J134" s="26">
        <v>172.5</v>
      </c>
      <c r="K134" s="24">
        <f>"103,8959"</f>
        <v>0</v>
      </c>
      <c r="L134" s="24"/>
    </row>
    <row r="135" spans="1:12" ht="14.25">
      <c r="A135" s="20" t="s">
        <v>2515</v>
      </c>
      <c r="B135" s="20" t="s">
        <v>2516</v>
      </c>
      <c r="C135" s="20" t="s">
        <v>854</v>
      </c>
      <c r="D135" s="20">
        <f>"0,6459"</f>
        <v>0</v>
      </c>
      <c r="E135" s="20" t="s">
        <v>15</v>
      </c>
      <c r="F135" s="20" t="s">
        <v>46</v>
      </c>
      <c r="G135" s="20" t="s">
        <v>653</v>
      </c>
      <c r="H135" s="20" t="s">
        <v>47</v>
      </c>
      <c r="I135" s="21"/>
      <c r="J135" s="22">
        <v>180</v>
      </c>
      <c r="K135" s="20">
        <f>"116,2570"</f>
        <v>0</v>
      </c>
      <c r="L135" s="20"/>
    </row>
    <row r="137" spans="1:11" ht="16.5">
      <c r="A137" s="23" t="s">
        <v>135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2" ht="14.25">
      <c r="A138" s="16" t="s">
        <v>2517</v>
      </c>
      <c r="B138" s="16" t="s">
        <v>2518</v>
      </c>
      <c r="C138" s="16" t="s">
        <v>2519</v>
      </c>
      <c r="D138" s="16">
        <f>"0,5439"</f>
        <v>0</v>
      </c>
      <c r="E138" s="16" t="s">
        <v>15</v>
      </c>
      <c r="F138" s="16" t="s">
        <v>92</v>
      </c>
      <c r="G138" s="16" t="s">
        <v>93</v>
      </c>
      <c r="H138" s="18" t="s">
        <v>47</v>
      </c>
      <c r="I138" s="18"/>
      <c r="J138" s="19">
        <v>175</v>
      </c>
      <c r="K138" s="16">
        <f>"95,1772"</f>
        <v>0</v>
      </c>
      <c r="L138" s="16"/>
    </row>
    <row r="139" spans="1:12" ht="14.25">
      <c r="A139" s="24" t="s">
        <v>2520</v>
      </c>
      <c r="B139" s="24" t="s">
        <v>2521</v>
      </c>
      <c r="C139" s="24" t="s">
        <v>2522</v>
      </c>
      <c r="D139" s="24">
        <f>"0,5434"</f>
        <v>0</v>
      </c>
      <c r="E139" s="24" t="s">
        <v>15</v>
      </c>
      <c r="F139" s="24" t="s">
        <v>1226</v>
      </c>
      <c r="G139" s="24" t="s">
        <v>62</v>
      </c>
      <c r="H139" s="24" t="s">
        <v>774</v>
      </c>
      <c r="I139" s="25"/>
      <c r="J139" s="26">
        <v>142.5</v>
      </c>
      <c r="K139" s="24">
        <f>"77,4302"</f>
        <v>0</v>
      </c>
      <c r="L139" s="24"/>
    </row>
    <row r="140" spans="1:12" ht="14.25">
      <c r="A140" s="20" t="s">
        <v>2517</v>
      </c>
      <c r="B140" s="20" t="s">
        <v>2523</v>
      </c>
      <c r="C140" s="20" t="s">
        <v>2519</v>
      </c>
      <c r="D140" s="20">
        <f>"0,5439"</f>
        <v>0</v>
      </c>
      <c r="E140" s="20" t="s">
        <v>15</v>
      </c>
      <c r="F140" s="20" t="s">
        <v>92</v>
      </c>
      <c r="G140" s="20" t="s">
        <v>93</v>
      </c>
      <c r="H140" s="21" t="s">
        <v>47</v>
      </c>
      <c r="I140" s="21"/>
      <c r="J140" s="22">
        <v>175</v>
      </c>
      <c r="K140" s="20">
        <f>"95,1772"</f>
        <v>0</v>
      </c>
      <c r="L140" s="20"/>
    </row>
    <row r="142" spans="1:11" ht="16.5">
      <c r="A142" s="23" t="s">
        <v>140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2" ht="14.25">
      <c r="A143" s="16" t="s">
        <v>2524</v>
      </c>
      <c r="B143" s="16" t="s">
        <v>2525</v>
      </c>
      <c r="C143" s="16" t="s">
        <v>2526</v>
      </c>
      <c r="D143" s="16">
        <f>"0,5149"</f>
        <v>0</v>
      </c>
      <c r="E143" s="16" t="s">
        <v>15</v>
      </c>
      <c r="F143" s="16" t="s">
        <v>54</v>
      </c>
      <c r="G143" s="16" t="s">
        <v>312</v>
      </c>
      <c r="H143" s="18" t="s">
        <v>1031</v>
      </c>
      <c r="I143" s="18"/>
      <c r="J143" s="19">
        <v>162.5</v>
      </c>
      <c r="K143" s="16">
        <f>"83,6704"</f>
        <v>0</v>
      </c>
      <c r="L143" s="16"/>
    </row>
    <row r="144" spans="1:12" ht="14.25">
      <c r="A144" s="20" t="s">
        <v>2527</v>
      </c>
      <c r="B144" s="20" t="s">
        <v>2528</v>
      </c>
      <c r="C144" s="20" t="s">
        <v>2529</v>
      </c>
      <c r="D144" s="20">
        <f>"0,5545"</f>
        <v>0</v>
      </c>
      <c r="E144" s="20" t="s">
        <v>15</v>
      </c>
      <c r="F144" s="20" t="s">
        <v>40</v>
      </c>
      <c r="G144" s="21" t="s">
        <v>78</v>
      </c>
      <c r="H144" s="21"/>
      <c r="I144" s="21"/>
      <c r="J144" s="22" t="s">
        <v>880</v>
      </c>
      <c r="K144" s="20" t="s">
        <v>2530</v>
      </c>
      <c r="L144" s="20"/>
    </row>
    <row r="146" ht="16.5">
      <c r="E146" s="30" t="s">
        <v>144</v>
      </c>
    </row>
    <row r="147" ht="16.5">
      <c r="E147" s="30" t="s">
        <v>145</v>
      </c>
    </row>
    <row r="148" ht="16.5">
      <c r="E148" s="30" t="s">
        <v>146</v>
      </c>
    </row>
    <row r="149" ht="14.25">
      <c r="E149" s="1" t="s">
        <v>147</v>
      </c>
    </row>
    <row r="150" ht="14.25">
      <c r="E150" s="1" t="s">
        <v>148</v>
      </c>
    </row>
    <row r="151" ht="14.25">
      <c r="E151" s="1" t="s">
        <v>149</v>
      </c>
    </row>
    <row r="153" spans="1:2" ht="18.75">
      <c r="A153" s="31" t="s">
        <v>150</v>
      </c>
      <c r="B153" s="31"/>
    </row>
    <row r="154" spans="1:2" ht="16.5">
      <c r="A154" s="32" t="s">
        <v>151</v>
      </c>
      <c r="B154" s="32"/>
    </row>
    <row r="155" spans="1:2" ht="15.75">
      <c r="A155" s="33" t="s">
        <v>375</v>
      </c>
      <c r="B155" s="34"/>
    </row>
    <row r="156" spans="1:5" ht="15.75">
      <c r="A156" s="35" t="s">
        <v>1</v>
      </c>
      <c r="B156" s="35" t="s">
        <v>153</v>
      </c>
      <c r="C156" s="35" t="s">
        <v>154</v>
      </c>
      <c r="D156" s="35" t="s">
        <v>7</v>
      </c>
      <c r="E156" s="35" t="s">
        <v>155</v>
      </c>
    </row>
    <row r="157" spans="1:5" ht="14.25">
      <c r="A157" s="36" t="s">
        <v>2279</v>
      </c>
      <c r="B157" s="1" t="s">
        <v>921</v>
      </c>
      <c r="C157" s="1" t="s">
        <v>2531</v>
      </c>
      <c r="D157" s="1" t="s">
        <v>2008</v>
      </c>
      <c r="E157" s="37" t="s">
        <v>2532</v>
      </c>
    </row>
    <row r="159" spans="1:2" ht="15.75">
      <c r="A159" s="33" t="s">
        <v>152</v>
      </c>
      <c r="B159" s="34"/>
    </row>
    <row r="160" spans="1:5" ht="15.75">
      <c r="A160" s="35" t="s">
        <v>1</v>
      </c>
      <c r="B160" s="35" t="s">
        <v>153</v>
      </c>
      <c r="C160" s="35" t="s">
        <v>154</v>
      </c>
      <c r="D160" s="35" t="s">
        <v>7</v>
      </c>
      <c r="E160" s="35" t="s">
        <v>155</v>
      </c>
    </row>
    <row r="161" spans="1:5" ht="14.25">
      <c r="A161" s="36" t="s">
        <v>2297</v>
      </c>
      <c r="B161" s="1" t="s">
        <v>152</v>
      </c>
      <c r="C161" s="1" t="s">
        <v>379</v>
      </c>
      <c r="D161" s="1" t="s">
        <v>510</v>
      </c>
      <c r="E161" s="37" t="s">
        <v>2533</v>
      </c>
    </row>
    <row r="162" spans="1:5" ht="14.25">
      <c r="A162" s="36" t="s">
        <v>2308</v>
      </c>
      <c r="B162" s="1" t="s">
        <v>152</v>
      </c>
      <c r="C162" s="1" t="s">
        <v>372</v>
      </c>
      <c r="D162" s="1" t="s">
        <v>540</v>
      </c>
      <c r="E162" s="37" t="s">
        <v>2534</v>
      </c>
    </row>
    <row r="163" spans="1:5" ht="14.25">
      <c r="A163" s="36" t="s">
        <v>2311</v>
      </c>
      <c r="B163" s="1" t="s">
        <v>152</v>
      </c>
      <c r="C163" s="1" t="s">
        <v>372</v>
      </c>
      <c r="D163" s="1" t="s">
        <v>1566</v>
      </c>
      <c r="E163" s="37" t="s">
        <v>2535</v>
      </c>
    </row>
    <row r="164" spans="1:5" ht="14.25">
      <c r="A164" s="36" t="s">
        <v>2303</v>
      </c>
      <c r="B164" s="1" t="s">
        <v>152</v>
      </c>
      <c r="C164" s="1" t="s">
        <v>944</v>
      </c>
      <c r="D164" s="1" t="s">
        <v>1559</v>
      </c>
      <c r="E164" s="37" t="s">
        <v>2536</v>
      </c>
    </row>
    <row r="165" spans="1:5" ht="14.25">
      <c r="A165" s="36" t="s">
        <v>2306</v>
      </c>
      <c r="B165" s="1" t="s">
        <v>152</v>
      </c>
      <c r="C165" s="1" t="s">
        <v>944</v>
      </c>
      <c r="D165" s="1" t="s">
        <v>2302</v>
      </c>
      <c r="E165" s="37" t="s">
        <v>2537</v>
      </c>
    </row>
    <row r="166" spans="1:5" ht="14.25">
      <c r="A166" s="36" t="s">
        <v>2314</v>
      </c>
      <c r="B166" s="1" t="s">
        <v>152</v>
      </c>
      <c r="C166" s="1" t="s">
        <v>158</v>
      </c>
      <c r="D166" s="1" t="s">
        <v>594</v>
      </c>
      <c r="E166" s="37" t="s">
        <v>2538</v>
      </c>
    </row>
    <row r="168" spans="1:2" ht="15.75">
      <c r="A168" s="33" t="s">
        <v>160</v>
      </c>
      <c r="B168" s="34"/>
    </row>
    <row r="169" spans="1:5" ht="15.75">
      <c r="A169" s="35" t="s">
        <v>1</v>
      </c>
      <c r="B169" s="35" t="s">
        <v>153</v>
      </c>
      <c r="C169" s="35" t="s">
        <v>154</v>
      </c>
      <c r="D169" s="35" t="s">
        <v>7</v>
      </c>
      <c r="E169" s="35" t="s">
        <v>155</v>
      </c>
    </row>
    <row r="170" spans="1:5" ht="14.25">
      <c r="A170" s="36" t="s">
        <v>2320</v>
      </c>
      <c r="B170" s="1" t="s">
        <v>188</v>
      </c>
      <c r="C170" s="1" t="s">
        <v>158</v>
      </c>
      <c r="D170" s="1" t="s">
        <v>511</v>
      </c>
      <c r="E170" s="37" t="s">
        <v>2539</v>
      </c>
    </row>
    <row r="171" spans="1:5" ht="14.25">
      <c r="A171" s="36" t="s">
        <v>2308</v>
      </c>
      <c r="B171" s="1" t="s">
        <v>188</v>
      </c>
      <c r="C171" s="1" t="s">
        <v>372</v>
      </c>
      <c r="D171" s="1" t="s">
        <v>547</v>
      </c>
      <c r="E171" s="37" t="s">
        <v>2540</v>
      </c>
    </row>
    <row r="172" spans="1:5" ht="14.25">
      <c r="A172" s="36" t="s">
        <v>2300</v>
      </c>
      <c r="B172" s="1" t="s">
        <v>188</v>
      </c>
      <c r="C172" s="1" t="s">
        <v>379</v>
      </c>
      <c r="D172" s="1" t="s">
        <v>582</v>
      </c>
      <c r="E172" s="37" t="s">
        <v>2541</v>
      </c>
    </row>
    <row r="175" spans="1:2" ht="16.5">
      <c r="A175" s="32" t="s">
        <v>164</v>
      </c>
      <c r="B175" s="32"/>
    </row>
    <row r="176" spans="1:2" ht="15.75">
      <c r="A176" s="33" t="s">
        <v>375</v>
      </c>
      <c r="B176" s="34"/>
    </row>
    <row r="177" spans="1:5" ht="15.75">
      <c r="A177" s="35" t="s">
        <v>1</v>
      </c>
      <c r="B177" s="35" t="s">
        <v>153</v>
      </c>
      <c r="C177" s="35" t="s">
        <v>154</v>
      </c>
      <c r="D177" s="35" t="s">
        <v>7</v>
      </c>
      <c r="E177" s="35" t="s">
        <v>155</v>
      </c>
    </row>
    <row r="178" spans="1:5" ht="14.25">
      <c r="A178" s="36" t="s">
        <v>2332</v>
      </c>
      <c r="B178" s="1" t="s">
        <v>917</v>
      </c>
      <c r="C178" s="1" t="s">
        <v>372</v>
      </c>
      <c r="D178" s="1" t="s">
        <v>29</v>
      </c>
      <c r="E178" s="37" t="s">
        <v>2542</v>
      </c>
    </row>
    <row r="179" spans="1:5" ht="14.25">
      <c r="A179" s="36" t="s">
        <v>610</v>
      </c>
      <c r="B179" s="1" t="s">
        <v>376</v>
      </c>
      <c r="C179" s="1" t="s">
        <v>156</v>
      </c>
      <c r="D179" s="1" t="s">
        <v>774</v>
      </c>
      <c r="E179" s="37" t="s">
        <v>2543</v>
      </c>
    </row>
    <row r="180" spans="1:5" ht="14.25">
      <c r="A180" s="36" t="s">
        <v>2344</v>
      </c>
      <c r="B180" s="1" t="s">
        <v>917</v>
      </c>
      <c r="C180" s="1" t="s">
        <v>158</v>
      </c>
      <c r="D180" s="1" t="s">
        <v>24</v>
      </c>
      <c r="E180" s="37" t="s">
        <v>2544</v>
      </c>
    </row>
    <row r="181" spans="1:5" ht="14.25">
      <c r="A181" s="36" t="s">
        <v>2339</v>
      </c>
      <c r="B181" s="1" t="s">
        <v>921</v>
      </c>
      <c r="C181" s="1" t="s">
        <v>158</v>
      </c>
      <c r="D181" s="1" t="s">
        <v>217</v>
      </c>
      <c r="E181" s="37" t="s">
        <v>2545</v>
      </c>
    </row>
    <row r="182" spans="1:5" ht="14.25">
      <c r="A182" s="36" t="s">
        <v>2243</v>
      </c>
      <c r="B182" s="1" t="s">
        <v>376</v>
      </c>
      <c r="C182" s="1" t="s">
        <v>156</v>
      </c>
      <c r="D182" s="1" t="s">
        <v>16</v>
      </c>
      <c r="E182" s="37" t="s">
        <v>2546</v>
      </c>
    </row>
    <row r="183" spans="1:5" ht="14.25">
      <c r="A183" s="36" t="s">
        <v>2437</v>
      </c>
      <c r="B183" s="1" t="s">
        <v>917</v>
      </c>
      <c r="C183" s="1" t="s">
        <v>167</v>
      </c>
      <c r="D183" s="1" t="s">
        <v>29</v>
      </c>
      <c r="E183" s="37" t="s">
        <v>2547</v>
      </c>
    </row>
    <row r="184" spans="1:5" ht="14.25">
      <c r="A184" s="36" t="s">
        <v>2355</v>
      </c>
      <c r="B184" s="1" t="s">
        <v>917</v>
      </c>
      <c r="C184" s="1" t="s">
        <v>156</v>
      </c>
      <c r="D184" s="1" t="s">
        <v>16</v>
      </c>
      <c r="E184" s="37" t="s">
        <v>2548</v>
      </c>
    </row>
    <row r="185" spans="1:5" ht="14.25">
      <c r="A185" s="36" t="s">
        <v>2439</v>
      </c>
      <c r="B185" s="1" t="s">
        <v>376</v>
      </c>
      <c r="C185" s="1" t="s">
        <v>167</v>
      </c>
      <c r="D185" s="1" t="s">
        <v>260</v>
      </c>
      <c r="E185" s="37" t="s">
        <v>2549</v>
      </c>
    </row>
    <row r="186" spans="1:5" ht="14.25">
      <c r="A186" s="36" t="s">
        <v>2351</v>
      </c>
      <c r="B186" s="1" t="s">
        <v>921</v>
      </c>
      <c r="C186" s="1" t="s">
        <v>156</v>
      </c>
      <c r="D186" s="1" t="s">
        <v>22</v>
      </c>
      <c r="E186" s="37" t="s">
        <v>2550</v>
      </c>
    </row>
    <row r="187" spans="1:5" ht="14.25">
      <c r="A187" s="36" t="s">
        <v>2353</v>
      </c>
      <c r="B187" s="1" t="s">
        <v>921</v>
      </c>
      <c r="C187" s="1" t="s">
        <v>156</v>
      </c>
      <c r="D187" s="1" t="s">
        <v>512</v>
      </c>
      <c r="E187" s="37" t="s">
        <v>2551</v>
      </c>
    </row>
    <row r="188" spans="1:5" ht="14.25">
      <c r="A188" s="36" t="s">
        <v>2341</v>
      </c>
      <c r="B188" s="1" t="s">
        <v>921</v>
      </c>
      <c r="C188" s="1" t="s">
        <v>158</v>
      </c>
      <c r="D188" s="1" t="s">
        <v>510</v>
      </c>
      <c r="E188" s="37" t="s">
        <v>2552</v>
      </c>
    </row>
    <row r="189" spans="1:5" ht="14.25">
      <c r="A189" s="36" t="s">
        <v>2323</v>
      </c>
      <c r="B189" s="1" t="s">
        <v>921</v>
      </c>
      <c r="C189" s="1" t="s">
        <v>379</v>
      </c>
      <c r="D189" s="1" t="s">
        <v>580</v>
      </c>
      <c r="E189" s="37" t="s">
        <v>2553</v>
      </c>
    </row>
    <row r="191" spans="1:2" ht="15.75">
      <c r="A191" s="33" t="s">
        <v>165</v>
      </c>
      <c r="B191" s="34"/>
    </row>
    <row r="192" spans="1:5" ht="15.75">
      <c r="A192" s="35" t="s">
        <v>1</v>
      </c>
      <c r="B192" s="35" t="s">
        <v>153</v>
      </c>
      <c r="C192" s="35" t="s">
        <v>154</v>
      </c>
      <c r="D192" s="35" t="s">
        <v>7</v>
      </c>
      <c r="E192" s="35" t="s">
        <v>155</v>
      </c>
    </row>
    <row r="193" spans="1:5" ht="14.25">
      <c r="A193" s="36" t="s">
        <v>2491</v>
      </c>
      <c r="B193" s="1" t="s">
        <v>166</v>
      </c>
      <c r="C193" s="1" t="s">
        <v>169</v>
      </c>
      <c r="D193" s="1" t="s">
        <v>212</v>
      </c>
      <c r="E193" s="37" t="s">
        <v>2554</v>
      </c>
    </row>
    <row r="194" spans="1:5" ht="14.25">
      <c r="A194" s="36" t="s">
        <v>2326</v>
      </c>
      <c r="B194" s="1" t="s">
        <v>166</v>
      </c>
      <c r="C194" s="1" t="s">
        <v>379</v>
      </c>
      <c r="D194" s="1" t="s">
        <v>16</v>
      </c>
      <c r="E194" s="37" t="s">
        <v>2555</v>
      </c>
    </row>
    <row r="195" spans="1:5" ht="14.25">
      <c r="A195" s="36" t="s">
        <v>70</v>
      </c>
      <c r="B195" s="1" t="s">
        <v>166</v>
      </c>
      <c r="C195" s="1" t="s">
        <v>167</v>
      </c>
      <c r="D195" s="1" t="s">
        <v>1347</v>
      </c>
      <c r="E195" s="37" t="s">
        <v>2556</v>
      </c>
    </row>
    <row r="196" spans="1:5" ht="14.25">
      <c r="A196" s="36" t="s">
        <v>2403</v>
      </c>
      <c r="B196" s="1" t="s">
        <v>166</v>
      </c>
      <c r="C196" s="1" t="s">
        <v>181</v>
      </c>
      <c r="D196" s="1" t="s">
        <v>672</v>
      </c>
      <c r="E196" s="37" t="s">
        <v>2557</v>
      </c>
    </row>
    <row r="197" spans="1:5" ht="14.25">
      <c r="A197" s="36" t="s">
        <v>2358</v>
      </c>
      <c r="B197" s="1" t="s">
        <v>166</v>
      </c>
      <c r="C197" s="1" t="s">
        <v>156</v>
      </c>
      <c r="D197" s="1" t="s">
        <v>17</v>
      </c>
      <c r="E197" s="37" t="s">
        <v>2558</v>
      </c>
    </row>
    <row r="199" spans="1:2" ht="15.75">
      <c r="A199" s="33" t="s">
        <v>152</v>
      </c>
      <c r="B199" s="34"/>
    </row>
    <row r="200" spans="1:5" ht="15.75">
      <c r="A200" s="35" t="s">
        <v>1</v>
      </c>
      <c r="B200" s="35" t="s">
        <v>153</v>
      </c>
      <c r="C200" s="35" t="s">
        <v>154</v>
      </c>
      <c r="D200" s="35" t="s">
        <v>7</v>
      </c>
      <c r="E200" s="35" t="s">
        <v>155</v>
      </c>
    </row>
    <row r="201" spans="1:5" ht="14.25">
      <c r="A201" s="36" t="s">
        <v>2442</v>
      </c>
      <c r="B201" s="1" t="s">
        <v>152</v>
      </c>
      <c r="C201" s="1" t="s">
        <v>167</v>
      </c>
      <c r="D201" s="1" t="s">
        <v>78</v>
      </c>
      <c r="E201" s="37" t="s">
        <v>2559</v>
      </c>
    </row>
    <row r="202" spans="1:5" ht="14.25">
      <c r="A202" s="36" t="s">
        <v>2406</v>
      </c>
      <c r="B202" s="1" t="s">
        <v>152</v>
      </c>
      <c r="C202" s="1" t="s">
        <v>181</v>
      </c>
      <c r="D202" s="1" t="s">
        <v>798</v>
      </c>
      <c r="E202" s="37" t="s">
        <v>2560</v>
      </c>
    </row>
    <row r="203" spans="1:5" ht="14.25">
      <c r="A203" s="36" t="s">
        <v>2469</v>
      </c>
      <c r="B203" s="1" t="s">
        <v>152</v>
      </c>
      <c r="C203" s="1" t="s">
        <v>173</v>
      </c>
      <c r="D203" s="1" t="s">
        <v>88</v>
      </c>
      <c r="E203" s="37" t="s">
        <v>2561</v>
      </c>
    </row>
    <row r="204" spans="1:5" ht="14.25">
      <c r="A204" s="36" t="s">
        <v>2337</v>
      </c>
      <c r="B204" s="1" t="s">
        <v>152</v>
      </c>
      <c r="C204" s="1" t="s">
        <v>372</v>
      </c>
      <c r="D204" s="1" t="s">
        <v>36</v>
      </c>
      <c r="E204" s="37" t="s">
        <v>2562</v>
      </c>
    </row>
    <row r="205" spans="1:5" ht="14.25">
      <c r="A205" s="36" t="s">
        <v>2444</v>
      </c>
      <c r="B205" s="1" t="s">
        <v>152</v>
      </c>
      <c r="C205" s="1" t="s">
        <v>167</v>
      </c>
      <c r="D205" s="1" t="s">
        <v>212</v>
      </c>
      <c r="E205" s="37" t="s">
        <v>2563</v>
      </c>
    </row>
    <row r="206" spans="1:5" ht="14.25">
      <c r="A206" s="36" t="s">
        <v>2447</v>
      </c>
      <c r="B206" s="1" t="s">
        <v>152</v>
      </c>
      <c r="C206" s="1" t="s">
        <v>167</v>
      </c>
      <c r="D206" s="1" t="s">
        <v>131</v>
      </c>
      <c r="E206" s="37" t="s">
        <v>2564</v>
      </c>
    </row>
    <row r="207" spans="1:5" ht="14.25">
      <c r="A207" s="36" t="s">
        <v>2372</v>
      </c>
      <c r="B207" s="1" t="s">
        <v>152</v>
      </c>
      <c r="C207" s="1" t="s">
        <v>171</v>
      </c>
      <c r="D207" s="1" t="s">
        <v>92</v>
      </c>
      <c r="E207" s="37" t="s">
        <v>2565</v>
      </c>
    </row>
    <row r="208" spans="1:5" ht="14.25">
      <c r="A208" s="36" t="s">
        <v>2471</v>
      </c>
      <c r="B208" s="1" t="s">
        <v>152</v>
      </c>
      <c r="C208" s="1" t="s">
        <v>173</v>
      </c>
      <c r="D208" s="1" t="s">
        <v>47</v>
      </c>
      <c r="E208" s="37" t="s">
        <v>2566</v>
      </c>
    </row>
    <row r="209" spans="1:5" ht="14.25">
      <c r="A209" s="36" t="s">
        <v>2411</v>
      </c>
      <c r="B209" s="1" t="s">
        <v>152</v>
      </c>
      <c r="C209" s="1" t="s">
        <v>181</v>
      </c>
      <c r="D209" s="1" t="s">
        <v>312</v>
      </c>
      <c r="E209" s="37" t="s">
        <v>2567</v>
      </c>
    </row>
    <row r="210" spans="1:5" ht="14.25">
      <c r="A210" s="36" t="s">
        <v>2473</v>
      </c>
      <c r="B210" s="1" t="s">
        <v>152</v>
      </c>
      <c r="C210" s="1" t="s">
        <v>173</v>
      </c>
      <c r="D210" s="1" t="s">
        <v>93</v>
      </c>
      <c r="E210" s="37" t="s">
        <v>2568</v>
      </c>
    </row>
    <row r="211" spans="1:5" ht="14.25">
      <c r="A211" s="36" t="s">
        <v>2517</v>
      </c>
      <c r="B211" s="1" t="s">
        <v>152</v>
      </c>
      <c r="C211" s="1" t="s">
        <v>175</v>
      </c>
      <c r="D211" s="1" t="s">
        <v>93</v>
      </c>
      <c r="E211" s="37" t="s">
        <v>2569</v>
      </c>
    </row>
    <row r="212" spans="1:5" ht="14.25">
      <c r="A212" s="36" t="s">
        <v>2475</v>
      </c>
      <c r="B212" s="1" t="s">
        <v>152</v>
      </c>
      <c r="C212" s="1" t="s">
        <v>173</v>
      </c>
      <c r="D212" s="1" t="s">
        <v>312</v>
      </c>
      <c r="E212" s="37" t="s">
        <v>2570</v>
      </c>
    </row>
    <row r="213" spans="1:5" ht="14.25">
      <c r="A213" s="36" t="s">
        <v>2497</v>
      </c>
      <c r="B213" s="1" t="s">
        <v>152</v>
      </c>
      <c r="C213" s="1" t="s">
        <v>169</v>
      </c>
      <c r="D213" s="1" t="s">
        <v>486</v>
      </c>
      <c r="E213" s="37" t="s">
        <v>2571</v>
      </c>
    </row>
    <row r="214" spans="1:5" ht="14.25">
      <c r="A214" s="36" t="s">
        <v>2374</v>
      </c>
      <c r="B214" s="1" t="s">
        <v>152</v>
      </c>
      <c r="C214" s="1" t="s">
        <v>171</v>
      </c>
      <c r="D214" s="1" t="s">
        <v>62</v>
      </c>
      <c r="E214" s="37" t="s">
        <v>2572</v>
      </c>
    </row>
    <row r="215" spans="1:5" ht="14.25">
      <c r="A215" s="36" t="s">
        <v>2413</v>
      </c>
      <c r="B215" s="1" t="s">
        <v>152</v>
      </c>
      <c r="C215" s="1" t="s">
        <v>181</v>
      </c>
      <c r="D215" s="1" t="s">
        <v>633</v>
      </c>
      <c r="E215" s="37" t="s">
        <v>2573</v>
      </c>
    </row>
    <row r="216" spans="1:5" ht="14.25">
      <c r="A216" s="36" t="s">
        <v>2347</v>
      </c>
      <c r="B216" s="1" t="s">
        <v>152</v>
      </c>
      <c r="C216" s="1" t="s">
        <v>158</v>
      </c>
      <c r="D216" s="1" t="s">
        <v>17</v>
      </c>
      <c r="E216" s="37" t="s">
        <v>2574</v>
      </c>
    </row>
    <row r="217" spans="1:5" ht="14.25">
      <c r="A217" s="36" t="s">
        <v>2524</v>
      </c>
      <c r="B217" s="1" t="s">
        <v>152</v>
      </c>
      <c r="C217" s="1" t="s">
        <v>194</v>
      </c>
      <c r="D217" s="1" t="s">
        <v>312</v>
      </c>
      <c r="E217" s="37" t="s">
        <v>2575</v>
      </c>
    </row>
    <row r="218" spans="1:5" ht="14.25">
      <c r="A218" s="36" t="s">
        <v>2416</v>
      </c>
      <c r="B218" s="1" t="s">
        <v>152</v>
      </c>
      <c r="C218" s="1" t="s">
        <v>181</v>
      </c>
      <c r="D218" s="1" t="s">
        <v>62</v>
      </c>
      <c r="E218" s="37" t="s">
        <v>2576</v>
      </c>
    </row>
    <row r="219" spans="1:5" ht="14.25">
      <c r="A219" s="36" t="s">
        <v>2418</v>
      </c>
      <c r="B219" s="1" t="s">
        <v>152</v>
      </c>
      <c r="C219" s="1" t="s">
        <v>181</v>
      </c>
      <c r="D219" s="1" t="s">
        <v>206</v>
      </c>
      <c r="E219" s="37" t="s">
        <v>2577</v>
      </c>
    </row>
    <row r="220" spans="1:5" ht="14.25">
      <c r="A220" s="36" t="s">
        <v>2421</v>
      </c>
      <c r="B220" s="1" t="s">
        <v>152</v>
      </c>
      <c r="C220" s="1" t="s">
        <v>181</v>
      </c>
      <c r="D220" s="1" t="s">
        <v>206</v>
      </c>
      <c r="E220" s="37" t="s">
        <v>2578</v>
      </c>
    </row>
    <row r="221" spans="1:5" ht="14.25">
      <c r="A221" s="36" t="s">
        <v>2500</v>
      </c>
      <c r="B221" s="1" t="s">
        <v>152</v>
      </c>
      <c r="C221" s="1" t="s">
        <v>169</v>
      </c>
      <c r="D221" s="1" t="s">
        <v>54</v>
      </c>
      <c r="E221" s="37" t="s">
        <v>2579</v>
      </c>
    </row>
    <row r="222" spans="1:5" ht="14.25">
      <c r="A222" s="36" t="s">
        <v>2376</v>
      </c>
      <c r="B222" s="1" t="s">
        <v>152</v>
      </c>
      <c r="C222" s="1" t="s">
        <v>171</v>
      </c>
      <c r="D222" s="1" t="s">
        <v>29</v>
      </c>
      <c r="E222" s="37" t="s">
        <v>2580</v>
      </c>
    </row>
    <row r="223" spans="1:5" ht="14.25">
      <c r="A223" s="36" t="s">
        <v>2520</v>
      </c>
      <c r="B223" s="1" t="s">
        <v>152</v>
      </c>
      <c r="C223" s="1" t="s">
        <v>175</v>
      </c>
      <c r="D223" s="1" t="s">
        <v>774</v>
      </c>
      <c r="E223" s="37" t="s">
        <v>2581</v>
      </c>
    </row>
    <row r="225" spans="1:2" ht="15.75">
      <c r="A225" s="33" t="s">
        <v>160</v>
      </c>
      <c r="B225" s="34"/>
    </row>
    <row r="226" spans="1:5" ht="15.75">
      <c r="A226" s="35" t="s">
        <v>1</v>
      </c>
      <c r="B226" s="35" t="s">
        <v>153</v>
      </c>
      <c r="C226" s="35" t="s">
        <v>154</v>
      </c>
      <c r="D226" s="35" t="s">
        <v>7</v>
      </c>
      <c r="E226" s="35" t="s">
        <v>155</v>
      </c>
    </row>
    <row r="227" spans="1:5" ht="14.25">
      <c r="A227" s="36" t="s">
        <v>2406</v>
      </c>
      <c r="B227" s="1" t="s">
        <v>188</v>
      </c>
      <c r="C227" s="1" t="s">
        <v>181</v>
      </c>
      <c r="D227" s="1" t="s">
        <v>798</v>
      </c>
      <c r="E227" s="37" t="s">
        <v>2582</v>
      </c>
    </row>
    <row r="228" spans="1:5" ht="14.25">
      <c r="A228" s="36" t="s">
        <v>2434</v>
      </c>
      <c r="B228" s="1" t="s">
        <v>192</v>
      </c>
      <c r="C228" s="1" t="s">
        <v>181</v>
      </c>
      <c r="D228" s="1" t="s">
        <v>36</v>
      </c>
      <c r="E228" s="37" t="s">
        <v>2583</v>
      </c>
    </row>
    <row r="229" spans="1:5" ht="14.25">
      <c r="A229" s="36" t="s">
        <v>2464</v>
      </c>
      <c r="B229" s="1" t="s">
        <v>161</v>
      </c>
      <c r="C229" s="1" t="s">
        <v>167</v>
      </c>
      <c r="D229" s="1" t="s">
        <v>46</v>
      </c>
      <c r="E229" s="37" t="s">
        <v>2584</v>
      </c>
    </row>
    <row r="230" spans="1:5" ht="14.25">
      <c r="A230" s="36" t="s">
        <v>2392</v>
      </c>
      <c r="B230" s="1" t="s">
        <v>190</v>
      </c>
      <c r="C230" s="1" t="s">
        <v>171</v>
      </c>
      <c r="D230" s="1" t="s">
        <v>54</v>
      </c>
      <c r="E230" s="37" t="s">
        <v>2585</v>
      </c>
    </row>
    <row r="231" spans="1:5" ht="14.25">
      <c r="A231" s="36" t="s">
        <v>80</v>
      </c>
      <c r="B231" s="1" t="s">
        <v>190</v>
      </c>
      <c r="C231" s="1" t="s">
        <v>167</v>
      </c>
      <c r="D231" s="1" t="s">
        <v>678</v>
      </c>
      <c r="E231" s="37" t="s">
        <v>2586</v>
      </c>
    </row>
    <row r="232" spans="1:5" ht="14.25">
      <c r="A232" s="36" t="s">
        <v>2515</v>
      </c>
      <c r="B232" s="1" t="s">
        <v>161</v>
      </c>
      <c r="C232" s="1" t="s">
        <v>169</v>
      </c>
      <c r="D232" s="1" t="s">
        <v>47</v>
      </c>
      <c r="E232" s="37" t="s">
        <v>2587</v>
      </c>
    </row>
    <row r="233" spans="1:5" ht="14.25">
      <c r="A233" s="36" t="s">
        <v>2382</v>
      </c>
      <c r="B233" s="1" t="s">
        <v>188</v>
      </c>
      <c r="C233" s="1" t="s">
        <v>171</v>
      </c>
      <c r="D233" s="1" t="s">
        <v>486</v>
      </c>
      <c r="E233" s="37" t="s">
        <v>2588</v>
      </c>
    </row>
    <row r="234" spans="1:5" ht="14.25">
      <c r="A234" s="36" t="s">
        <v>2349</v>
      </c>
      <c r="B234" s="1" t="s">
        <v>190</v>
      </c>
      <c r="C234" s="1" t="s">
        <v>158</v>
      </c>
      <c r="D234" s="1" t="s">
        <v>35</v>
      </c>
      <c r="E234" s="37" t="s">
        <v>2589</v>
      </c>
    </row>
    <row r="235" spans="1:5" ht="14.25">
      <c r="A235" s="36" t="s">
        <v>2462</v>
      </c>
      <c r="B235" s="1" t="s">
        <v>161</v>
      </c>
      <c r="C235" s="1" t="s">
        <v>167</v>
      </c>
      <c r="D235" s="1" t="s">
        <v>93</v>
      </c>
      <c r="E235" s="37" t="s">
        <v>2590</v>
      </c>
    </row>
    <row r="236" spans="1:5" ht="14.25">
      <c r="A236" s="36" t="s">
        <v>2466</v>
      </c>
      <c r="B236" s="1" t="s">
        <v>190</v>
      </c>
      <c r="C236" s="1" t="s">
        <v>167</v>
      </c>
      <c r="D236" s="1" t="s">
        <v>120</v>
      </c>
      <c r="E236" s="37" t="s">
        <v>2591</v>
      </c>
    </row>
    <row r="237" spans="1:5" ht="14.25">
      <c r="A237" s="36" t="s">
        <v>2507</v>
      </c>
      <c r="B237" s="1" t="s">
        <v>188</v>
      </c>
      <c r="C237" s="1" t="s">
        <v>169</v>
      </c>
      <c r="D237" s="1" t="s">
        <v>212</v>
      </c>
      <c r="E237" s="37" t="s">
        <v>2592</v>
      </c>
    </row>
    <row r="238" spans="1:5" ht="14.25">
      <c r="A238" s="36" t="s">
        <v>2428</v>
      </c>
      <c r="B238" s="1" t="s">
        <v>188</v>
      </c>
      <c r="C238" s="1" t="s">
        <v>181</v>
      </c>
      <c r="D238" s="1" t="s">
        <v>46</v>
      </c>
      <c r="E238" s="37" t="s">
        <v>2593</v>
      </c>
    </row>
    <row r="239" spans="1:5" ht="14.25">
      <c r="A239" s="36" t="s">
        <v>2398</v>
      </c>
      <c r="B239" s="1" t="s">
        <v>404</v>
      </c>
      <c r="C239" s="1" t="s">
        <v>171</v>
      </c>
      <c r="D239" s="1" t="s">
        <v>328</v>
      </c>
      <c r="E239" s="37" t="s">
        <v>2594</v>
      </c>
    </row>
    <row r="240" spans="1:5" ht="14.25">
      <c r="A240" s="36" t="s">
        <v>2502</v>
      </c>
      <c r="B240" s="1" t="s">
        <v>399</v>
      </c>
      <c r="C240" s="1" t="s">
        <v>169</v>
      </c>
      <c r="D240" s="1" t="s">
        <v>620</v>
      </c>
      <c r="E240" s="37" t="s">
        <v>2595</v>
      </c>
    </row>
    <row r="241" spans="1:5" ht="14.25">
      <c r="A241" s="36" t="s">
        <v>771</v>
      </c>
      <c r="B241" s="1" t="s">
        <v>190</v>
      </c>
      <c r="C241" s="1" t="s">
        <v>167</v>
      </c>
      <c r="D241" s="1" t="s">
        <v>36</v>
      </c>
      <c r="E241" s="37" t="s">
        <v>2596</v>
      </c>
    </row>
    <row r="242" spans="1:5" ht="14.25">
      <c r="A242" s="36" t="s">
        <v>631</v>
      </c>
      <c r="B242" s="1" t="s">
        <v>399</v>
      </c>
      <c r="C242" s="1" t="s">
        <v>156</v>
      </c>
      <c r="D242" s="1" t="s">
        <v>54</v>
      </c>
      <c r="E242" s="37" t="s">
        <v>2597</v>
      </c>
    </row>
    <row r="243" spans="1:5" ht="14.25">
      <c r="A243" s="36" t="s">
        <v>2477</v>
      </c>
      <c r="B243" s="1" t="s">
        <v>399</v>
      </c>
      <c r="C243" s="1" t="s">
        <v>173</v>
      </c>
      <c r="D243" s="1" t="s">
        <v>47</v>
      </c>
      <c r="E243" s="37" t="s">
        <v>2598</v>
      </c>
    </row>
    <row r="244" spans="1:5" ht="14.25">
      <c r="A244" s="36" t="s">
        <v>2513</v>
      </c>
      <c r="B244" s="1" t="s">
        <v>188</v>
      </c>
      <c r="C244" s="1" t="s">
        <v>169</v>
      </c>
      <c r="D244" s="1" t="s">
        <v>626</v>
      </c>
      <c r="E244" s="37" t="s">
        <v>2599</v>
      </c>
    </row>
    <row r="245" spans="1:5" ht="14.25">
      <c r="A245" s="36" t="s">
        <v>2411</v>
      </c>
      <c r="B245" s="1" t="s">
        <v>399</v>
      </c>
      <c r="C245" s="1" t="s">
        <v>181</v>
      </c>
      <c r="D245" s="1" t="s">
        <v>312</v>
      </c>
      <c r="E245" s="37" t="s">
        <v>2600</v>
      </c>
    </row>
    <row r="246" spans="1:5" ht="14.25">
      <c r="A246" s="36" t="s">
        <v>2210</v>
      </c>
      <c r="B246" s="1" t="s">
        <v>190</v>
      </c>
      <c r="C246" s="1" t="s">
        <v>173</v>
      </c>
      <c r="D246" s="1" t="s">
        <v>120</v>
      </c>
      <c r="E246" s="37" t="s">
        <v>2601</v>
      </c>
    </row>
    <row r="247" spans="1:5" ht="14.25">
      <c r="A247" s="36" t="s">
        <v>2510</v>
      </c>
      <c r="B247" s="1" t="s">
        <v>188</v>
      </c>
      <c r="C247" s="1" t="s">
        <v>169</v>
      </c>
      <c r="D247" s="1" t="s">
        <v>93</v>
      </c>
      <c r="E247" s="37" t="s">
        <v>2602</v>
      </c>
    </row>
    <row r="248" spans="1:5" ht="14.25">
      <c r="A248" s="36" t="s">
        <v>2378</v>
      </c>
      <c r="B248" s="1" t="s">
        <v>399</v>
      </c>
      <c r="C248" s="1" t="s">
        <v>171</v>
      </c>
      <c r="D248" s="1" t="s">
        <v>246</v>
      </c>
      <c r="E248" s="37" t="s">
        <v>2603</v>
      </c>
    </row>
    <row r="249" spans="1:5" ht="14.25">
      <c r="A249" s="36" t="s">
        <v>2479</v>
      </c>
      <c r="B249" s="1" t="s">
        <v>399</v>
      </c>
      <c r="C249" s="1" t="s">
        <v>173</v>
      </c>
      <c r="D249" s="1" t="s">
        <v>626</v>
      </c>
      <c r="E249" s="37" t="s">
        <v>2604</v>
      </c>
    </row>
    <row r="250" spans="1:5" ht="14.25">
      <c r="A250" s="36" t="s">
        <v>2460</v>
      </c>
      <c r="B250" s="1" t="s">
        <v>188</v>
      </c>
      <c r="C250" s="1" t="s">
        <v>167</v>
      </c>
      <c r="D250" s="1" t="s">
        <v>486</v>
      </c>
      <c r="E250" s="37" t="s">
        <v>2605</v>
      </c>
    </row>
  </sheetData>
  <sheetProtection selectLockedCells="1" selectUnlockedCells="1"/>
  <mergeCells count="27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9:K9"/>
    <mergeCell ref="A12:K12"/>
    <mergeCell ref="A17:K17"/>
    <mergeCell ref="A21:K21"/>
    <mergeCell ref="A26:K26"/>
    <mergeCell ref="A31:K31"/>
    <mergeCell ref="A36:K36"/>
    <mergeCell ref="A41:K41"/>
    <mergeCell ref="A48:K48"/>
    <mergeCell ref="A61:K61"/>
    <mergeCell ref="A75:K75"/>
    <mergeCell ref="A94:K94"/>
    <mergeCell ref="A112:K112"/>
    <mergeCell ref="A125:K125"/>
    <mergeCell ref="A137:K137"/>
    <mergeCell ref="A142:K1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J1" sqref="J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9" width="5.50390625" style="1" customWidth="1"/>
    <col min="10" max="10" width="6.375" style="37" customWidth="1"/>
    <col min="11" max="11" width="8.50390625" style="1" customWidth="1"/>
    <col min="12" max="12" width="7.125" style="1" customWidth="1"/>
  </cols>
  <sheetData>
    <row r="1" spans="1:12" s="4" customFormat="1" ht="15" customHeight="1">
      <c r="A1" s="3" t="s">
        <v>2606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57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993</v>
      </c>
      <c r="G3" s="8"/>
      <c r="H3" s="8"/>
      <c r="I3" s="8"/>
      <c r="J3" s="40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40"/>
      <c r="K4" s="7"/>
      <c r="L4" s="10"/>
    </row>
    <row r="5" spans="1:11" ht="16.5">
      <c r="A5" s="15" t="s">
        <v>213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27" t="s">
        <v>2607</v>
      </c>
      <c r="B6" s="27" t="s">
        <v>2608</v>
      </c>
      <c r="C6" s="27" t="s">
        <v>1556</v>
      </c>
      <c r="D6" s="27">
        <f>"1,1076"</f>
        <v>0</v>
      </c>
      <c r="E6" s="27" t="s">
        <v>15</v>
      </c>
      <c r="F6" s="27" t="s">
        <v>22</v>
      </c>
      <c r="G6" s="27" t="s">
        <v>16</v>
      </c>
      <c r="H6" s="28" t="s">
        <v>17</v>
      </c>
      <c r="I6" s="28"/>
      <c r="J6" s="41">
        <v>100</v>
      </c>
      <c r="K6" s="27">
        <f>"110,7600"</f>
        <v>0</v>
      </c>
      <c r="L6" s="27"/>
    </row>
    <row r="8" spans="1:11" ht="16.5">
      <c r="A8" s="23" t="s">
        <v>63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14.25">
      <c r="A9" s="16" t="s">
        <v>1050</v>
      </c>
      <c r="B9" s="16" t="s">
        <v>1051</v>
      </c>
      <c r="C9" s="16" t="s">
        <v>1052</v>
      </c>
      <c r="D9" s="16">
        <f>"0,6188"</f>
        <v>0</v>
      </c>
      <c r="E9" s="16" t="s">
        <v>15</v>
      </c>
      <c r="F9" s="16" t="s">
        <v>47</v>
      </c>
      <c r="G9" s="16" t="s">
        <v>87</v>
      </c>
      <c r="H9" s="16" t="s">
        <v>40</v>
      </c>
      <c r="I9" s="18"/>
      <c r="J9" s="42">
        <v>220</v>
      </c>
      <c r="K9" s="16">
        <f>"136,1470"</f>
        <v>0</v>
      </c>
      <c r="L9" s="16"/>
    </row>
    <row r="10" spans="1:12" ht="14.25">
      <c r="A10" s="20" t="s">
        <v>2609</v>
      </c>
      <c r="B10" s="20" t="s">
        <v>2610</v>
      </c>
      <c r="C10" s="20" t="s">
        <v>2611</v>
      </c>
      <c r="D10" s="20">
        <f>"0,8895"</f>
        <v>0</v>
      </c>
      <c r="E10" s="20" t="s">
        <v>15</v>
      </c>
      <c r="F10" s="20" t="s">
        <v>54</v>
      </c>
      <c r="G10" s="20" t="s">
        <v>486</v>
      </c>
      <c r="H10" s="20" t="s">
        <v>626</v>
      </c>
      <c r="I10" s="21"/>
      <c r="J10" s="44">
        <v>172.5</v>
      </c>
      <c r="K10" s="20">
        <f>"153,4344"</f>
        <v>0</v>
      </c>
      <c r="L10" s="20"/>
    </row>
    <row r="12" spans="1:11" ht="16.5">
      <c r="A12" s="23" t="s">
        <v>69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2" ht="14.25">
      <c r="A13" s="16" t="s">
        <v>2612</v>
      </c>
      <c r="B13" s="16" t="s">
        <v>2613</v>
      </c>
      <c r="C13" s="16" t="s">
        <v>2446</v>
      </c>
      <c r="D13" s="16">
        <f>"0,6029"</f>
        <v>0</v>
      </c>
      <c r="E13" s="16" t="s">
        <v>15</v>
      </c>
      <c r="F13" s="16" t="s">
        <v>41</v>
      </c>
      <c r="G13" s="16" t="s">
        <v>337</v>
      </c>
      <c r="H13" s="16" t="s">
        <v>282</v>
      </c>
      <c r="I13" s="18" t="s">
        <v>79</v>
      </c>
      <c r="J13" s="42">
        <v>265</v>
      </c>
      <c r="K13" s="16">
        <f>"159,7761"</f>
        <v>0</v>
      </c>
      <c r="L13" s="16"/>
    </row>
    <row r="14" spans="1:12" ht="14.25">
      <c r="A14" s="20" t="s">
        <v>2614</v>
      </c>
      <c r="B14" s="20" t="s">
        <v>2615</v>
      </c>
      <c r="C14" s="20" t="s">
        <v>278</v>
      </c>
      <c r="D14" s="20">
        <f>"0,6600"</f>
        <v>0</v>
      </c>
      <c r="E14" s="20" t="s">
        <v>369</v>
      </c>
      <c r="F14" s="20" t="s">
        <v>29</v>
      </c>
      <c r="G14" s="20" t="s">
        <v>486</v>
      </c>
      <c r="H14" s="21" t="s">
        <v>46</v>
      </c>
      <c r="I14" s="21"/>
      <c r="J14" s="44">
        <v>160</v>
      </c>
      <c r="K14" s="20">
        <f>"105,5962"</f>
        <v>0</v>
      </c>
      <c r="L14" s="20"/>
    </row>
    <row r="16" ht="16.5">
      <c r="E16" s="30" t="s">
        <v>144</v>
      </c>
    </row>
    <row r="17" ht="16.5">
      <c r="E17" s="30" t="s">
        <v>145</v>
      </c>
    </row>
    <row r="18" ht="16.5">
      <c r="E18" s="30" t="s">
        <v>146</v>
      </c>
    </row>
    <row r="19" ht="14.25">
      <c r="E19" s="1" t="s">
        <v>147</v>
      </c>
    </row>
    <row r="20" ht="14.25">
      <c r="E20" s="1" t="s">
        <v>148</v>
      </c>
    </row>
    <row r="21" ht="14.25">
      <c r="E21" s="1" t="s">
        <v>149</v>
      </c>
    </row>
    <row r="23" spans="1:2" ht="18.75">
      <c r="A23" s="31" t="s">
        <v>150</v>
      </c>
      <c r="B23" s="31"/>
    </row>
    <row r="24" spans="1:2" ht="16.5">
      <c r="A24" s="32" t="s">
        <v>151</v>
      </c>
      <c r="B24" s="32"/>
    </row>
    <row r="25" spans="1:2" ht="15.75">
      <c r="A25" s="33" t="s">
        <v>375</v>
      </c>
      <c r="B25" s="34"/>
    </row>
    <row r="26" spans="1:5" ht="15.75">
      <c r="A26" s="35" t="s">
        <v>1</v>
      </c>
      <c r="B26" s="35" t="s">
        <v>153</v>
      </c>
      <c r="C26" s="35" t="s">
        <v>154</v>
      </c>
      <c r="D26" s="35" t="s">
        <v>7</v>
      </c>
      <c r="E26" s="35" t="s">
        <v>155</v>
      </c>
    </row>
    <row r="27" spans="1:5" ht="14.25">
      <c r="A27" s="36" t="s">
        <v>2607</v>
      </c>
      <c r="B27" s="1" t="s">
        <v>376</v>
      </c>
      <c r="C27" s="1" t="s">
        <v>379</v>
      </c>
      <c r="D27" s="1" t="s">
        <v>16</v>
      </c>
      <c r="E27" s="37" t="s">
        <v>2616</v>
      </c>
    </row>
    <row r="30" spans="1:2" ht="16.5">
      <c r="A30" s="32" t="s">
        <v>164</v>
      </c>
      <c r="B30" s="32"/>
    </row>
    <row r="31" spans="1:2" ht="15.75">
      <c r="A31" s="33" t="s">
        <v>152</v>
      </c>
      <c r="B31" s="34"/>
    </row>
    <row r="32" spans="1:5" ht="15.75">
      <c r="A32" s="35" t="s">
        <v>1</v>
      </c>
      <c r="B32" s="35" t="s">
        <v>153</v>
      </c>
      <c r="C32" s="35" t="s">
        <v>154</v>
      </c>
      <c r="D32" s="35" t="s">
        <v>7</v>
      </c>
      <c r="E32" s="35" t="s">
        <v>155</v>
      </c>
    </row>
    <row r="33" spans="1:5" ht="14.25">
      <c r="A33" s="36" t="s">
        <v>1050</v>
      </c>
      <c r="B33" s="1" t="s">
        <v>152</v>
      </c>
      <c r="C33" s="1" t="s">
        <v>181</v>
      </c>
      <c r="D33" s="1" t="s">
        <v>40</v>
      </c>
      <c r="E33" s="37" t="s">
        <v>2617</v>
      </c>
    </row>
    <row r="35" spans="1:2" ht="15.75">
      <c r="A35" s="33" t="s">
        <v>160</v>
      </c>
      <c r="B35" s="34"/>
    </row>
    <row r="36" spans="1:5" ht="15.75">
      <c r="A36" s="35" t="s">
        <v>1</v>
      </c>
      <c r="B36" s="35" t="s">
        <v>153</v>
      </c>
      <c r="C36" s="35" t="s">
        <v>154</v>
      </c>
      <c r="D36" s="35" t="s">
        <v>7</v>
      </c>
      <c r="E36" s="35" t="s">
        <v>155</v>
      </c>
    </row>
    <row r="37" spans="1:5" ht="14.25">
      <c r="A37" s="36" t="s">
        <v>2612</v>
      </c>
      <c r="B37" s="1" t="s">
        <v>399</v>
      </c>
      <c r="C37" s="1" t="s">
        <v>167</v>
      </c>
      <c r="D37" s="1" t="s">
        <v>282</v>
      </c>
      <c r="E37" s="37" t="s">
        <v>2618</v>
      </c>
    </row>
    <row r="38" spans="1:5" ht="14.25">
      <c r="A38" s="36" t="s">
        <v>2609</v>
      </c>
      <c r="B38" s="1" t="s">
        <v>192</v>
      </c>
      <c r="C38" s="1" t="s">
        <v>181</v>
      </c>
      <c r="D38" s="1" t="s">
        <v>626</v>
      </c>
      <c r="E38" s="37" t="s">
        <v>2619</v>
      </c>
    </row>
    <row r="39" spans="1:5" ht="14.25">
      <c r="A39" s="36" t="s">
        <v>2614</v>
      </c>
      <c r="B39" s="1" t="s">
        <v>161</v>
      </c>
      <c r="C39" s="1" t="s">
        <v>167</v>
      </c>
      <c r="D39" s="1" t="s">
        <v>486</v>
      </c>
      <c r="E39" s="37" t="s">
        <v>2620</v>
      </c>
    </row>
  </sheetData>
  <sheetProtection selectLockedCells="1" selectUnlockedCells="1"/>
  <mergeCells count="13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8:K8"/>
    <mergeCell ref="A12:K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workbookViewId="0" topLeftCell="A43">
      <selection activeCell="J1" sqref="J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9" width="5.50390625" style="1" customWidth="1"/>
    <col min="10" max="10" width="6.375" style="2" customWidth="1"/>
    <col min="11" max="11" width="8.50390625" style="1" customWidth="1"/>
    <col min="12" max="12" width="14.375" style="1" customWidth="1"/>
  </cols>
  <sheetData>
    <row r="1" spans="1:12" s="4" customFormat="1" ht="15" customHeight="1">
      <c r="A1" s="3" t="s">
        <v>201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5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8"/>
      <c r="H3" s="8"/>
      <c r="I3" s="8"/>
      <c r="J3" s="9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9"/>
      <c r="K4" s="7"/>
      <c r="L4" s="10"/>
    </row>
    <row r="5" spans="1:11" ht="16.5">
      <c r="A5" s="15" t="s">
        <v>202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27" t="s">
        <v>203</v>
      </c>
      <c r="B6" s="27" t="s">
        <v>204</v>
      </c>
      <c r="C6" s="27" t="s">
        <v>205</v>
      </c>
      <c r="D6" s="27">
        <f>"0,9903"</f>
        <v>0</v>
      </c>
      <c r="E6" s="27" t="s">
        <v>15</v>
      </c>
      <c r="F6" s="27" t="s">
        <v>35</v>
      </c>
      <c r="G6" s="27" t="s">
        <v>206</v>
      </c>
      <c r="H6" s="28" t="s">
        <v>62</v>
      </c>
      <c r="I6" s="28"/>
      <c r="J6" s="29">
        <v>132.5</v>
      </c>
      <c r="K6" s="27">
        <f>"131,2147"</f>
        <v>0</v>
      </c>
      <c r="L6" s="27" t="s">
        <v>207</v>
      </c>
    </row>
    <row r="8" spans="1:11" ht="16.5">
      <c r="A8" s="23" t="s">
        <v>25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14.25">
      <c r="A9" s="27" t="s">
        <v>32</v>
      </c>
      <c r="B9" s="27" t="s">
        <v>33</v>
      </c>
      <c r="C9" s="27" t="s">
        <v>34</v>
      </c>
      <c r="D9" s="27">
        <f>"0,9998"</f>
        <v>0</v>
      </c>
      <c r="E9" s="27" t="s">
        <v>15</v>
      </c>
      <c r="F9" s="27" t="s">
        <v>62</v>
      </c>
      <c r="G9" s="27" t="s">
        <v>36</v>
      </c>
      <c r="H9" s="27" t="s">
        <v>120</v>
      </c>
      <c r="I9" s="28" t="s">
        <v>54</v>
      </c>
      <c r="J9" s="29">
        <v>145</v>
      </c>
      <c r="K9" s="27">
        <f>"144,9752"</f>
        <v>0</v>
      </c>
      <c r="L9" s="27"/>
    </row>
    <row r="11" spans="1:11" ht="16.5">
      <c r="A11" s="23" t="s">
        <v>49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2" ht="14.25">
      <c r="A12" s="27" t="s">
        <v>208</v>
      </c>
      <c r="B12" s="27" t="s">
        <v>209</v>
      </c>
      <c r="C12" s="27" t="s">
        <v>210</v>
      </c>
      <c r="D12" s="27">
        <f>"0,7955"</f>
        <v>0</v>
      </c>
      <c r="E12" s="27" t="s">
        <v>211</v>
      </c>
      <c r="F12" s="27" t="s">
        <v>212</v>
      </c>
      <c r="G12" s="28" t="s">
        <v>73</v>
      </c>
      <c r="H12" s="27" t="s">
        <v>73</v>
      </c>
      <c r="I12" s="28" t="s">
        <v>88</v>
      </c>
      <c r="J12" s="29">
        <v>205</v>
      </c>
      <c r="K12" s="27">
        <f>"163,0877"</f>
        <v>0</v>
      </c>
      <c r="L12" s="27"/>
    </row>
    <row r="14" spans="1:11" ht="16.5">
      <c r="A14" s="23" t="s">
        <v>213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2" ht="14.25">
      <c r="A15" s="27" t="s">
        <v>214</v>
      </c>
      <c r="B15" s="27" t="s">
        <v>215</v>
      </c>
      <c r="C15" s="27" t="s">
        <v>216</v>
      </c>
      <c r="D15" s="27">
        <f>"1,0008"</f>
        <v>0</v>
      </c>
      <c r="E15" s="27" t="s">
        <v>15</v>
      </c>
      <c r="F15" s="27" t="s">
        <v>217</v>
      </c>
      <c r="G15" s="27" t="s">
        <v>218</v>
      </c>
      <c r="H15" s="27" t="s">
        <v>29</v>
      </c>
      <c r="I15" s="28"/>
      <c r="J15" s="29">
        <v>120</v>
      </c>
      <c r="K15" s="27">
        <f>"120,0960"</f>
        <v>0</v>
      </c>
      <c r="L15" s="27"/>
    </row>
    <row r="17" spans="1:11" ht="16.5">
      <c r="A17" s="23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2" ht="14.25">
      <c r="A18" s="16" t="s">
        <v>37</v>
      </c>
      <c r="B18" s="16" t="s">
        <v>38</v>
      </c>
      <c r="C18" s="16" t="s">
        <v>39</v>
      </c>
      <c r="D18" s="16">
        <f>"0,6885"</f>
        <v>0</v>
      </c>
      <c r="E18" s="16" t="s">
        <v>15</v>
      </c>
      <c r="F18" s="16" t="s">
        <v>40</v>
      </c>
      <c r="G18" s="16" t="s">
        <v>219</v>
      </c>
      <c r="H18" s="18" t="s">
        <v>41</v>
      </c>
      <c r="I18" s="18"/>
      <c r="J18" s="19">
        <v>232.5</v>
      </c>
      <c r="K18" s="16">
        <f>"160,0879"</f>
        <v>0</v>
      </c>
      <c r="L18" s="16" t="s">
        <v>43</v>
      </c>
    </row>
    <row r="19" spans="1:12" ht="14.25">
      <c r="A19" s="20" t="s">
        <v>220</v>
      </c>
      <c r="B19" s="20" t="s">
        <v>221</v>
      </c>
      <c r="C19" s="20" t="s">
        <v>222</v>
      </c>
      <c r="D19" s="20">
        <f>"0,7315"</f>
        <v>0</v>
      </c>
      <c r="E19" s="20" t="s">
        <v>223</v>
      </c>
      <c r="F19" s="21" t="s">
        <v>46</v>
      </c>
      <c r="G19" s="20" t="s">
        <v>46</v>
      </c>
      <c r="H19" s="21" t="s">
        <v>224</v>
      </c>
      <c r="I19" s="21"/>
      <c r="J19" s="22">
        <v>170</v>
      </c>
      <c r="K19" s="20">
        <f>"124,3523"</f>
        <v>0</v>
      </c>
      <c r="L19" s="20"/>
    </row>
    <row r="21" spans="1:11" ht="16.5">
      <c r="A21" s="23" t="s">
        <v>49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2" ht="14.25">
      <c r="A22" s="16" t="s">
        <v>225</v>
      </c>
      <c r="B22" s="16" t="s">
        <v>226</v>
      </c>
      <c r="C22" s="16" t="s">
        <v>227</v>
      </c>
      <c r="D22" s="16">
        <f>"0,6508"</f>
        <v>0</v>
      </c>
      <c r="E22" s="16" t="s">
        <v>228</v>
      </c>
      <c r="F22" s="18" t="s">
        <v>131</v>
      </c>
      <c r="G22" s="16" t="s">
        <v>131</v>
      </c>
      <c r="H22" s="18" t="s">
        <v>73</v>
      </c>
      <c r="I22" s="18"/>
      <c r="J22" s="19">
        <v>190</v>
      </c>
      <c r="K22" s="16">
        <f>"123,6520"</f>
        <v>0</v>
      </c>
      <c r="L22" s="16"/>
    </row>
    <row r="23" spans="1:12" ht="14.25">
      <c r="A23" s="24" t="s">
        <v>229</v>
      </c>
      <c r="B23" s="24" t="s">
        <v>230</v>
      </c>
      <c r="C23" s="24" t="s">
        <v>231</v>
      </c>
      <c r="D23" s="24">
        <f>"0,6513"</f>
        <v>0</v>
      </c>
      <c r="E23" s="24" t="s">
        <v>232</v>
      </c>
      <c r="F23" s="24" t="s">
        <v>88</v>
      </c>
      <c r="G23" s="24" t="s">
        <v>233</v>
      </c>
      <c r="H23" s="24" t="s">
        <v>78</v>
      </c>
      <c r="I23" s="25"/>
      <c r="J23" s="26">
        <v>230</v>
      </c>
      <c r="K23" s="24">
        <f>"149,7990"</f>
        <v>0</v>
      </c>
      <c r="L23" s="24"/>
    </row>
    <row r="24" spans="1:12" ht="14.25">
      <c r="A24" s="24" t="s">
        <v>234</v>
      </c>
      <c r="B24" s="24" t="s">
        <v>235</v>
      </c>
      <c r="C24" s="24" t="s">
        <v>236</v>
      </c>
      <c r="D24" s="24">
        <f>"0,6718"</f>
        <v>0</v>
      </c>
      <c r="E24" s="24" t="s">
        <v>15</v>
      </c>
      <c r="F24" s="24" t="s">
        <v>23</v>
      </c>
      <c r="G24" s="24" t="s">
        <v>217</v>
      </c>
      <c r="H24" s="24" t="s">
        <v>17</v>
      </c>
      <c r="I24" s="25"/>
      <c r="J24" s="26">
        <v>110</v>
      </c>
      <c r="K24" s="24">
        <f>"73,8980"</f>
        <v>0</v>
      </c>
      <c r="L24" s="24"/>
    </row>
    <row r="25" spans="1:12" ht="14.25">
      <c r="A25" s="24" t="s">
        <v>237</v>
      </c>
      <c r="B25" s="24" t="s">
        <v>238</v>
      </c>
      <c r="C25" s="24" t="s">
        <v>239</v>
      </c>
      <c r="D25" s="24">
        <f>"0,6651"</f>
        <v>0</v>
      </c>
      <c r="E25" s="24" t="s">
        <v>15</v>
      </c>
      <c r="F25" s="24" t="s">
        <v>240</v>
      </c>
      <c r="G25" s="25" t="s">
        <v>212</v>
      </c>
      <c r="H25" s="25"/>
      <c r="I25" s="25"/>
      <c r="J25" s="26" t="s">
        <v>241</v>
      </c>
      <c r="K25" s="24" t="s">
        <v>242</v>
      </c>
      <c r="L25" s="24"/>
    </row>
    <row r="26" spans="1:12" ht="14.25">
      <c r="A26" s="24" t="s">
        <v>243</v>
      </c>
      <c r="B26" s="24" t="s">
        <v>244</v>
      </c>
      <c r="C26" s="24" t="s">
        <v>245</v>
      </c>
      <c r="D26" s="24">
        <f>"0,8136"</f>
        <v>0</v>
      </c>
      <c r="E26" s="24" t="s">
        <v>15</v>
      </c>
      <c r="F26" s="24" t="s">
        <v>120</v>
      </c>
      <c r="G26" s="24" t="s">
        <v>54</v>
      </c>
      <c r="H26" s="24" t="s">
        <v>246</v>
      </c>
      <c r="I26" s="25"/>
      <c r="J26" s="26">
        <v>155</v>
      </c>
      <c r="K26" s="24">
        <f>"126,1058"</f>
        <v>0</v>
      </c>
      <c r="L26" s="24"/>
    </row>
    <row r="27" spans="1:12" ht="14.25">
      <c r="A27" s="24" t="s">
        <v>247</v>
      </c>
      <c r="B27" s="24" t="s">
        <v>248</v>
      </c>
      <c r="C27" s="24" t="s">
        <v>249</v>
      </c>
      <c r="D27" s="24">
        <f>"0,8206"</f>
        <v>0</v>
      </c>
      <c r="E27" s="24" t="s">
        <v>15</v>
      </c>
      <c r="F27" s="24" t="s">
        <v>73</v>
      </c>
      <c r="G27" s="24" t="s">
        <v>250</v>
      </c>
      <c r="H27" s="25" t="s">
        <v>74</v>
      </c>
      <c r="I27" s="25"/>
      <c r="J27" s="26">
        <v>212.5</v>
      </c>
      <c r="K27" s="24">
        <f>"174,3746"</f>
        <v>0</v>
      </c>
      <c r="L27" s="24"/>
    </row>
    <row r="28" spans="1:12" ht="14.25">
      <c r="A28" s="24" t="s">
        <v>251</v>
      </c>
      <c r="B28" s="24" t="s">
        <v>252</v>
      </c>
      <c r="C28" s="24" t="s">
        <v>253</v>
      </c>
      <c r="D28" s="24">
        <f>"1,0877"</f>
        <v>0</v>
      </c>
      <c r="E28" s="24" t="s">
        <v>15</v>
      </c>
      <c r="F28" s="24" t="s">
        <v>120</v>
      </c>
      <c r="G28" s="25" t="s">
        <v>246</v>
      </c>
      <c r="H28" s="25" t="s">
        <v>246</v>
      </c>
      <c r="I28" s="25"/>
      <c r="J28" s="26" t="s">
        <v>254</v>
      </c>
      <c r="K28" s="24" t="s">
        <v>255</v>
      </c>
      <c r="L28" s="24"/>
    </row>
    <row r="29" spans="1:12" ht="14.25">
      <c r="A29" s="20" t="s">
        <v>256</v>
      </c>
      <c r="B29" s="20" t="s">
        <v>257</v>
      </c>
      <c r="C29" s="20" t="s">
        <v>258</v>
      </c>
      <c r="D29" s="20">
        <f>"1,2175"</f>
        <v>0</v>
      </c>
      <c r="E29" s="20" t="s">
        <v>259</v>
      </c>
      <c r="F29" s="20" t="s">
        <v>260</v>
      </c>
      <c r="G29" s="20" t="s">
        <v>17</v>
      </c>
      <c r="H29" s="20" t="s">
        <v>218</v>
      </c>
      <c r="I29" s="21"/>
      <c r="J29" s="22">
        <v>112.5</v>
      </c>
      <c r="K29" s="20">
        <f>"136,9713"</f>
        <v>0</v>
      </c>
      <c r="L29" s="20"/>
    </row>
    <row r="31" spans="1:11" ht="16.5">
      <c r="A31" s="23" t="s">
        <v>63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2" ht="14.25">
      <c r="A32" s="16" t="s">
        <v>261</v>
      </c>
      <c r="B32" s="16" t="s">
        <v>262</v>
      </c>
      <c r="C32" s="16" t="s">
        <v>263</v>
      </c>
      <c r="D32" s="16">
        <f>"0,6184"</f>
        <v>0</v>
      </c>
      <c r="E32" s="16" t="s">
        <v>15</v>
      </c>
      <c r="F32" s="18"/>
      <c r="G32" s="18"/>
      <c r="H32" s="18"/>
      <c r="I32" s="18"/>
      <c r="J32" s="19">
        <v>0</v>
      </c>
      <c r="K32" s="16">
        <f>"0,0000"</f>
        <v>0</v>
      </c>
      <c r="L32" s="16"/>
    </row>
    <row r="33" spans="1:12" ht="14.25">
      <c r="A33" s="20" t="s">
        <v>264</v>
      </c>
      <c r="B33" s="20" t="s">
        <v>265</v>
      </c>
      <c r="C33" s="20" t="s">
        <v>266</v>
      </c>
      <c r="D33" s="20">
        <f>"0,6141"</f>
        <v>0</v>
      </c>
      <c r="E33" s="20" t="s">
        <v>15</v>
      </c>
      <c r="F33" s="20" t="s">
        <v>219</v>
      </c>
      <c r="G33" s="21" t="s">
        <v>267</v>
      </c>
      <c r="H33" s="21" t="s">
        <v>267</v>
      </c>
      <c r="I33" s="21"/>
      <c r="J33" s="22" t="s">
        <v>219</v>
      </c>
      <c r="K33" s="20" t="s">
        <v>268</v>
      </c>
      <c r="L33" s="20"/>
    </row>
    <row r="34" spans="1:12" ht="14.25">
      <c r="A34" s="24" t="s">
        <v>269</v>
      </c>
      <c r="B34" s="24" t="s">
        <v>270</v>
      </c>
      <c r="C34" s="24" t="s">
        <v>271</v>
      </c>
      <c r="D34" s="24">
        <f>"0,6303"</f>
        <v>0</v>
      </c>
      <c r="E34" s="24" t="s">
        <v>67</v>
      </c>
      <c r="F34" s="25" t="s">
        <v>219</v>
      </c>
      <c r="G34" s="24" t="s">
        <v>40</v>
      </c>
      <c r="H34" s="25" t="s">
        <v>267</v>
      </c>
      <c r="I34" s="25"/>
      <c r="J34" s="26">
        <v>220</v>
      </c>
      <c r="K34" s="24">
        <f>"138,6770"</f>
        <v>0</v>
      </c>
      <c r="L34" s="24"/>
    </row>
    <row r="35" spans="1:12" ht="14.25">
      <c r="A35" s="24" t="s">
        <v>272</v>
      </c>
      <c r="B35" s="24" t="s">
        <v>273</v>
      </c>
      <c r="C35" s="24" t="s">
        <v>274</v>
      </c>
      <c r="D35" s="24">
        <f>"0,6295"</f>
        <v>0</v>
      </c>
      <c r="E35" s="24" t="s">
        <v>15</v>
      </c>
      <c r="F35" s="25" t="s">
        <v>40</v>
      </c>
      <c r="G35" s="25" t="s">
        <v>78</v>
      </c>
      <c r="H35" s="25" t="s">
        <v>78</v>
      </c>
      <c r="I35" s="25"/>
      <c r="J35" s="26">
        <v>0</v>
      </c>
      <c r="K35" s="24">
        <f aca="true" t="shared" si="0" ref="K35:K36">"0,0000"</f>
        <v>0</v>
      </c>
      <c r="L35" s="24"/>
    </row>
    <row r="36" spans="1:12" ht="14.25">
      <c r="A36" s="24" t="s">
        <v>261</v>
      </c>
      <c r="B36" s="24" t="s">
        <v>275</v>
      </c>
      <c r="C36" s="24" t="s">
        <v>263</v>
      </c>
      <c r="D36" s="24">
        <f>"0,6184"</f>
        <v>0</v>
      </c>
      <c r="E36" s="24" t="s">
        <v>15</v>
      </c>
      <c r="F36" s="25"/>
      <c r="G36" s="25"/>
      <c r="H36" s="25"/>
      <c r="I36" s="25"/>
      <c r="J36" s="26">
        <v>0</v>
      </c>
      <c r="K36" s="24">
        <f t="shared" si="0"/>
        <v>0</v>
      </c>
      <c r="L36" s="24"/>
    </row>
    <row r="38" spans="1:11" ht="16.5">
      <c r="A38" s="23" t="s">
        <v>69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2" ht="14.25">
      <c r="A39" s="16" t="s">
        <v>276</v>
      </c>
      <c r="B39" s="16" t="s">
        <v>277</v>
      </c>
      <c r="C39" s="16" t="s">
        <v>278</v>
      </c>
      <c r="D39" s="16">
        <f>"0,5840"</f>
        <v>0</v>
      </c>
      <c r="E39" s="16" t="s">
        <v>228</v>
      </c>
      <c r="F39" s="16" t="s">
        <v>279</v>
      </c>
      <c r="G39" s="16" t="s">
        <v>280</v>
      </c>
      <c r="H39" s="16" t="s">
        <v>281</v>
      </c>
      <c r="I39" s="18" t="s">
        <v>104</v>
      </c>
      <c r="J39" s="19">
        <v>280</v>
      </c>
      <c r="K39" s="16">
        <f>"163,5340"</f>
        <v>0</v>
      </c>
      <c r="L39" s="16"/>
    </row>
    <row r="40" spans="1:12" ht="14.25">
      <c r="A40" s="24" t="s">
        <v>75</v>
      </c>
      <c r="B40" s="24" t="s">
        <v>76</v>
      </c>
      <c r="C40" s="24" t="s">
        <v>77</v>
      </c>
      <c r="D40" s="24">
        <f>"0,5997"</f>
        <v>0</v>
      </c>
      <c r="E40" s="24" t="s">
        <v>53</v>
      </c>
      <c r="F40" s="25" t="s">
        <v>42</v>
      </c>
      <c r="G40" s="24" t="s">
        <v>282</v>
      </c>
      <c r="H40" s="25" t="s">
        <v>283</v>
      </c>
      <c r="I40" s="25"/>
      <c r="J40" s="26">
        <v>265</v>
      </c>
      <c r="K40" s="24">
        <f>"158,9073"</f>
        <v>0</v>
      </c>
      <c r="L40" s="24"/>
    </row>
    <row r="41" spans="1:12" ht="14.25">
      <c r="A41" s="24" t="s">
        <v>284</v>
      </c>
      <c r="B41" s="24" t="s">
        <v>285</v>
      </c>
      <c r="C41" s="24" t="s">
        <v>286</v>
      </c>
      <c r="D41" s="24">
        <f>"0,5828"</f>
        <v>0</v>
      </c>
      <c r="E41" s="24" t="s">
        <v>15</v>
      </c>
      <c r="F41" s="25" t="s">
        <v>41</v>
      </c>
      <c r="G41" s="24" t="s">
        <v>41</v>
      </c>
      <c r="H41" s="25" t="s">
        <v>68</v>
      </c>
      <c r="I41" s="25"/>
      <c r="J41" s="26">
        <v>240</v>
      </c>
      <c r="K41" s="24">
        <f>"139,8720"</f>
        <v>0</v>
      </c>
      <c r="L41" s="24"/>
    </row>
    <row r="42" spans="1:12" ht="14.25">
      <c r="A42" s="24" t="s">
        <v>287</v>
      </c>
      <c r="B42" s="24" t="s">
        <v>288</v>
      </c>
      <c r="C42" s="24" t="s">
        <v>278</v>
      </c>
      <c r="D42" s="24">
        <f>"0,5840"</f>
        <v>0</v>
      </c>
      <c r="E42" s="24" t="s">
        <v>15</v>
      </c>
      <c r="F42" s="25" t="s">
        <v>233</v>
      </c>
      <c r="G42" s="25" t="s">
        <v>233</v>
      </c>
      <c r="H42" s="25" t="s">
        <v>233</v>
      </c>
      <c r="I42" s="25"/>
      <c r="J42" s="26">
        <v>0</v>
      </c>
      <c r="K42" s="24">
        <f>"0,0000"</f>
        <v>0</v>
      </c>
      <c r="L42" s="24"/>
    </row>
    <row r="43" spans="1:12" ht="14.25">
      <c r="A43" s="24" t="s">
        <v>276</v>
      </c>
      <c r="B43" s="24" t="s">
        <v>289</v>
      </c>
      <c r="C43" s="24" t="s">
        <v>278</v>
      </c>
      <c r="D43" s="24">
        <f>"0,5899"</f>
        <v>0</v>
      </c>
      <c r="E43" s="24" t="s">
        <v>228</v>
      </c>
      <c r="F43" s="24" t="s">
        <v>279</v>
      </c>
      <c r="G43" s="24" t="s">
        <v>280</v>
      </c>
      <c r="H43" s="24" t="s">
        <v>281</v>
      </c>
      <c r="I43" s="25" t="s">
        <v>104</v>
      </c>
      <c r="J43" s="26">
        <v>280</v>
      </c>
      <c r="K43" s="24">
        <f>"165,1693"</f>
        <v>0</v>
      </c>
      <c r="L43" s="24"/>
    </row>
    <row r="44" spans="1:12" ht="14.25">
      <c r="A44" s="20" t="s">
        <v>284</v>
      </c>
      <c r="B44" s="20" t="s">
        <v>290</v>
      </c>
      <c r="C44" s="20" t="s">
        <v>286</v>
      </c>
      <c r="D44" s="20">
        <f>"0,6009"</f>
        <v>0</v>
      </c>
      <c r="E44" s="20" t="s">
        <v>15</v>
      </c>
      <c r="F44" s="21" t="s">
        <v>41</v>
      </c>
      <c r="G44" s="20" t="s">
        <v>41</v>
      </c>
      <c r="H44" s="21" t="s">
        <v>68</v>
      </c>
      <c r="I44" s="21"/>
      <c r="J44" s="22">
        <v>240</v>
      </c>
      <c r="K44" s="20">
        <f>"144,2080"</f>
        <v>0</v>
      </c>
      <c r="L44" s="20"/>
    </row>
    <row r="46" spans="1:11" ht="16.5">
      <c r="A46" s="23" t="s">
        <v>94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2" ht="14.25">
      <c r="A47" s="16" t="s">
        <v>291</v>
      </c>
      <c r="B47" s="16" t="s">
        <v>292</v>
      </c>
      <c r="C47" s="16" t="s">
        <v>293</v>
      </c>
      <c r="D47" s="16">
        <f>"0,5627"</f>
        <v>0</v>
      </c>
      <c r="E47" s="16" t="s">
        <v>15</v>
      </c>
      <c r="F47" s="16" t="s">
        <v>40</v>
      </c>
      <c r="G47" s="16" t="s">
        <v>294</v>
      </c>
      <c r="H47" s="18" t="s">
        <v>267</v>
      </c>
      <c r="I47" s="18"/>
      <c r="J47" s="19">
        <v>227.5</v>
      </c>
      <c r="K47" s="16">
        <f>"128,0029"</f>
        <v>0</v>
      </c>
      <c r="L47" s="16"/>
    </row>
    <row r="48" spans="1:12" ht="14.25">
      <c r="A48" s="24" t="s">
        <v>295</v>
      </c>
      <c r="B48" s="24" t="s">
        <v>296</v>
      </c>
      <c r="C48" s="24" t="s">
        <v>297</v>
      </c>
      <c r="D48" s="24">
        <f>"0,5650"</f>
        <v>0</v>
      </c>
      <c r="E48" s="24" t="s">
        <v>15</v>
      </c>
      <c r="F48" s="24" t="s">
        <v>106</v>
      </c>
      <c r="G48" s="24" t="s">
        <v>298</v>
      </c>
      <c r="H48" s="24" t="s">
        <v>299</v>
      </c>
      <c r="I48" s="25"/>
      <c r="J48" s="26">
        <v>322.5</v>
      </c>
      <c r="K48" s="24">
        <f>"182,2125"</f>
        <v>0</v>
      </c>
      <c r="L48" s="24"/>
    </row>
    <row r="49" spans="1:12" ht="14.25">
      <c r="A49" s="24" t="s">
        <v>300</v>
      </c>
      <c r="B49" s="24" t="s">
        <v>301</v>
      </c>
      <c r="C49" s="24" t="s">
        <v>302</v>
      </c>
      <c r="D49" s="24">
        <f>"0,5765"</f>
        <v>0</v>
      </c>
      <c r="E49" s="24" t="s">
        <v>15</v>
      </c>
      <c r="F49" s="24" t="s">
        <v>41</v>
      </c>
      <c r="G49" s="25" t="s">
        <v>42</v>
      </c>
      <c r="H49" s="24" t="s">
        <v>42</v>
      </c>
      <c r="I49" s="25"/>
      <c r="J49" s="26">
        <v>250</v>
      </c>
      <c r="K49" s="24">
        <f>"144,1250"</f>
        <v>0</v>
      </c>
      <c r="L49" s="24"/>
    </row>
    <row r="50" spans="1:12" ht="14.25">
      <c r="A50" s="24" t="s">
        <v>303</v>
      </c>
      <c r="B50" s="24" t="s">
        <v>304</v>
      </c>
      <c r="C50" s="24" t="s">
        <v>305</v>
      </c>
      <c r="D50" s="24">
        <f>"0,5635"</f>
        <v>0</v>
      </c>
      <c r="E50" s="24" t="s">
        <v>67</v>
      </c>
      <c r="F50" s="25" t="s">
        <v>88</v>
      </c>
      <c r="G50" s="25" t="s">
        <v>40</v>
      </c>
      <c r="H50" s="25" t="s">
        <v>40</v>
      </c>
      <c r="I50" s="25"/>
      <c r="J50" s="26">
        <v>0</v>
      </c>
      <c r="K50" s="24">
        <f aca="true" t="shared" si="1" ref="K50:K51">"0,0000"</f>
        <v>0</v>
      </c>
      <c r="L50" s="24"/>
    </row>
    <row r="51" spans="1:12" ht="14.25">
      <c r="A51" s="24" t="s">
        <v>306</v>
      </c>
      <c r="B51" s="24" t="s">
        <v>307</v>
      </c>
      <c r="C51" s="24" t="s">
        <v>308</v>
      </c>
      <c r="D51" s="24">
        <f>"0,6140"</f>
        <v>0</v>
      </c>
      <c r="E51" s="24" t="s">
        <v>15</v>
      </c>
      <c r="F51" s="25" t="s">
        <v>41</v>
      </c>
      <c r="G51" s="25" t="s">
        <v>41</v>
      </c>
      <c r="H51" s="25"/>
      <c r="I51" s="25"/>
      <c r="J51" s="26">
        <v>0</v>
      </c>
      <c r="K51" s="24">
        <f t="shared" si="1"/>
        <v>0</v>
      </c>
      <c r="L51" s="24"/>
    </row>
    <row r="52" spans="1:12" ht="14.25">
      <c r="A52" s="24" t="s">
        <v>309</v>
      </c>
      <c r="B52" s="24" t="s">
        <v>310</v>
      </c>
      <c r="C52" s="24" t="s">
        <v>311</v>
      </c>
      <c r="D52" s="24">
        <f>"0,7112"</f>
        <v>0</v>
      </c>
      <c r="E52" s="24" t="s">
        <v>15</v>
      </c>
      <c r="F52" s="24" t="s">
        <v>312</v>
      </c>
      <c r="G52" s="24" t="s">
        <v>46</v>
      </c>
      <c r="H52" s="25" t="s">
        <v>47</v>
      </c>
      <c r="I52" s="25"/>
      <c r="J52" s="26">
        <v>170</v>
      </c>
      <c r="K52" s="24">
        <f>"120,9100"</f>
        <v>0</v>
      </c>
      <c r="L52" s="24"/>
    </row>
    <row r="53" spans="1:12" ht="14.25">
      <c r="A53" s="24" t="s">
        <v>313</v>
      </c>
      <c r="B53" s="24" t="s">
        <v>314</v>
      </c>
      <c r="C53" s="24" t="s">
        <v>315</v>
      </c>
      <c r="D53" s="24">
        <f>"0,7702"</f>
        <v>0</v>
      </c>
      <c r="E53" s="24" t="s">
        <v>15</v>
      </c>
      <c r="F53" s="24" t="s">
        <v>83</v>
      </c>
      <c r="G53" s="24" t="s">
        <v>78</v>
      </c>
      <c r="H53" s="24" t="s">
        <v>316</v>
      </c>
      <c r="I53" s="24" t="s">
        <v>41</v>
      </c>
      <c r="J53" s="26">
        <v>235</v>
      </c>
      <c r="K53" s="24">
        <f>"181,0045"</f>
        <v>0</v>
      </c>
      <c r="L53" s="24"/>
    </row>
    <row r="54" spans="1:12" ht="14.25">
      <c r="A54" s="24" t="s">
        <v>317</v>
      </c>
      <c r="B54" s="24" t="s">
        <v>318</v>
      </c>
      <c r="C54" s="24" t="s">
        <v>319</v>
      </c>
      <c r="D54" s="24">
        <f>"0,7884"</f>
        <v>0</v>
      </c>
      <c r="E54" s="24" t="s">
        <v>15</v>
      </c>
      <c r="F54" s="25" t="s">
        <v>40</v>
      </c>
      <c r="G54" s="25" t="s">
        <v>40</v>
      </c>
      <c r="H54" s="24" t="s">
        <v>40</v>
      </c>
      <c r="I54" s="25"/>
      <c r="J54" s="26">
        <v>220</v>
      </c>
      <c r="K54" s="24">
        <f>"173,4410"</f>
        <v>0</v>
      </c>
      <c r="L54" s="24" t="s">
        <v>320</v>
      </c>
    </row>
    <row r="55" spans="1:12" ht="14.25">
      <c r="A55" s="24" t="s">
        <v>321</v>
      </c>
      <c r="B55" s="24" t="s">
        <v>322</v>
      </c>
      <c r="C55" s="24" t="s">
        <v>323</v>
      </c>
      <c r="D55" s="24">
        <f>"0,8435"</f>
        <v>0</v>
      </c>
      <c r="E55" s="24" t="s">
        <v>324</v>
      </c>
      <c r="F55" s="24" t="s">
        <v>47</v>
      </c>
      <c r="G55" s="24" t="s">
        <v>131</v>
      </c>
      <c r="H55" s="25" t="s">
        <v>87</v>
      </c>
      <c r="I55" s="25"/>
      <c r="J55" s="26">
        <v>190</v>
      </c>
      <c r="K55" s="24">
        <f>"160,2699"</f>
        <v>0</v>
      </c>
      <c r="L55" s="24"/>
    </row>
    <row r="56" spans="1:12" ht="14.25">
      <c r="A56" s="20" t="s">
        <v>325</v>
      </c>
      <c r="B56" s="20" t="s">
        <v>326</v>
      </c>
      <c r="C56" s="20" t="s">
        <v>302</v>
      </c>
      <c r="D56" s="20">
        <f>"1,0579"</f>
        <v>0</v>
      </c>
      <c r="E56" s="20" t="s">
        <v>327</v>
      </c>
      <c r="F56" s="20" t="s">
        <v>328</v>
      </c>
      <c r="G56" s="21"/>
      <c r="H56" s="21"/>
      <c r="I56" s="21"/>
      <c r="J56" s="22" t="s">
        <v>328</v>
      </c>
      <c r="K56" s="20" t="s">
        <v>329</v>
      </c>
      <c r="L56" s="20"/>
    </row>
    <row r="58" spans="1:11" ht="16.5">
      <c r="A58" s="23" t="s">
        <v>127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2" ht="14.25">
      <c r="A59" s="16" t="s">
        <v>330</v>
      </c>
      <c r="B59" s="16" t="s">
        <v>331</v>
      </c>
      <c r="C59" s="16" t="s">
        <v>332</v>
      </c>
      <c r="D59" s="16">
        <f>"0,5530"</f>
        <v>0</v>
      </c>
      <c r="E59" s="16" t="s">
        <v>232</v>
      </c>
      <c r="F59" s="16" t="s">
        <v>333</v>
      </c>
      <c r="G59" s="18" t="s">
        <v>104</v>
      </c>
      <c r="H59" s="18"/>
      <c r="I59" s="18"/>
      <c r="J59" s="19">
        <v>280</v>
      </c>
      <c r="K59" s="16">
        <f>"154,8400"</f>
        <v>0</v>
      </c>
      <c r="L59" s="16"/>
    </row>
    <row r="60" spans="1:12" ht="14.25">
      <c r="A60" s="24" t="s">
        <v>334</v>
      </c>
      <c r="B60" s="24" t="s">
        <v>335</v>
      </c>
      <c r="C60" s="24" t="s">
        <v>336</v>
      </c>
      <c r="D60" s="24">
        <f>"0,5480"</f>
        <v>0</v>
      </c>
      <c r="E60" s="24" t="s">
        <v>15</v>
      </c>
      <c r="F60" s="24" t="s">
        <v>41</v>
      </c>
      <c r="G60" s="25" t="s">
        <v>42</v>
      </c>
      <c r="H60" s="24" t="s">
        <v>337</v>
      </c>
      <c r="I60" s="25"/>
      <c r="J60" s="26">
        <v>255</v>
      </c>
      <c r="K60" s="24">
        <f>"139,7400"</f>
        <v>0</v>
      </c>
      <c r="L60" s="24"/>
    </row>
    <row r="61" spans="1:12" ht="14.25">
      <c r="A61" s="24" t="s">
        <v>132</v>
      </c>
      <c r="B61" s="24" t="s">
        <v>133</v>
      </c>
      <c r="C61" s="24" t="s">
        <v>134</v>
      </c>
      <c r="D61" s="24">
        <f>"0,5595"</f>
        <v>0</v>
      </c>
      <c r="E61" s="24" t="s">
        <v>67</v>
      </c>
      <c r="F61" s="24" t="s">
        <v>41</v>
      </c>
      <c r="G61" s="24" t="s">
        <v>42</v>
      </c>
      <c r="H61" s="24" t="s">
        <v>279</v>
      </c>
      <c r="I61" s="25"/>
      <c r="J61" s="26">
        <v>252.5</v>
      </c>
      <c r="K61" s="24">
        <f>"141,2737"</f>
        <v>0</v>
      </c>
      <c r="L61" s="24"/>
    </row>
    <row r="62" spans="1:12" ht="14.25">
      <c r="A62" s="24" t="s">
        <v>338</v>
      </c>
      <c r="B62" s="24" t="s">
        <v>339</v>
      </c>
      <c r="C62" s="24" t="s">
        <v>340</v>
      </c>
      <c r="D62" s="24">
        <f>"0,5562"</f>
        <v>0</v>
      </c>
      <c r="E62" s="24" t="s">
        <v>15</v>
      </c>
      <c r="F62" s="24" t="s">
        <v>78</v>
      </c>
      <c r="G62" s="24" t="s">
        <v>41</v>
      </c>
      <c r="H62" s="24" t="s">
        <v>42</v>
      </c>
      <c r="I62" s="25"/>
      <c r="J62" s="26">
        <v>250</v>
      </c>
      <c r="K62" s="24">
        <f>"139,0625"</f>
        <v>0</v>
      </c>
      <c r="L62" s="24"/>
    </row>
    <row r="63" spans="1:12" ht="14.25">
      <c r="A63" s="24" t="s">
        <v>341</v>
      </c>
      <c r="B63" s="24" t="s">
        <v>342</v>
      </c>
      <c r="C63" s="24" t="s">
        <v>343</v>
      </c>
      <c r="D63" s="24">
        <f>"0,5501"</f>
        <v>0</v>
      </c>
      <c r="E63" s="24" t="s">
        <v>15</v>
      </c>
      <c r="F63" s="25" t="s">
        <v>344</v>
      </c>
      <c r="G63" s="25" t="s">
        <v>344</v>
      </c>
      <c r="H63" s="25" t="s">
        <v>344</v>
      </c>
      <c r="I63" s="25"/>
      <c r="J63" s="26">
        <v>0</v>
      </c>
      <c r="K63" s="24">
        <f>"0,0000"</f>
        <v>0</v>
      </c>
      <c r="L63" s="24"/>
    </row>
    <row r="64" spans="1:12" ht="14.25">
      <c r="A64" s="24" t="s">
        <v>338</v>
      </c>
      <c r="B64" s="24" t="s">
        <v>345</v>
      </c>
      <c r="C64" s="24" t="s">
        <v>340</v>
      </c>
      <c r="D64" s="24">
        <f>"0,5674"</f>
        <v>0</v>
      </c>
      <c r="E64" s="24" t="s">
        <v>15</v>
      </c>
      <c r="F64" s="24" t="s">
        <v>78</v>
      </c>
      <c r="G64" s="24" t="s">
        <v>41</v>
      </c>
      <c r="H64" s="24" t="s">
        <v>42</v>
      </c>
      <c r="I64" s="25"/>
      <c r="J64" s="26">
        <v>250</v>
      </c>
      <c r="K64" s="24">
        <f>"141,8438"</f>
        <v>0</v>
      </c>
      <c r="L64" s="24"/>
    </row>
    <row r="65" spans="1:12" ht="14.25">
      <c r="A65" s="20" t="s">
        <v>346</v>
      </c>
      <c r="B65" s="20" t="s">
        <v>347</v>
      </c>
      <c r="C65" s="20" t="s">
        <v>348</v>
      </c>
      <c r="D65" s="20">
        <f>"0,6022"</f>
        <v>0</v>
      </c>
      <c r="E65" s="20" t="s">
        <v>15</v>
      </c>
      <c r="F65" s="21" t="s">
        <v>333</v>
      </c>
      <c r="G65" s="21" t="s">
        <v>349</v>
      </c>
      <c r="H65" s="21"/>
      <c r="I65" s="21"/>
      <c r="J65" s="22">
        <v>0</v>
      </c>
      <c r="K65" s="20">
        <f>"0,0000"</f>
        <v>0</v>
      </c>
      <c r="L65" s="20"/>
    </row>
    <row r="67" spans="1:11" ht="16.5">
      <c r="A67" s="23" t="s">
        <v>135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2" ht="14.25">
      <c r="A68" s="16" t="s">
        <v>350</v>
      </c>
      <c r="B68" s="16" t="s">
        <v>351</v>
      </c>
      <c r="C68" s="16" t="s">
        <v>352</v>
      </c>
      <c r="D68" s="16">
        <f>"0,5374"</f>
        <v>0</v>
      </c>
      <c r="E68" s="16" t="s">
        <v>228</v>
      </c>
      <c r="F68" s="16" t="s">
        <v>353</v>
      </c>
      <c r="G68" s="18"/>
      <c r="H68" s="18"/>
      <c r="I68" s="18"/>
      <c r="J68" s="19" t="s">
        <v>354</v>
      </c>
      <c r="K68" s="16" t="s">
        <v>355</v>
      </c>
      <c r="L68" s="16"/>
    </row>
    <row r="69" spans="1:12" ht="14.25">
      <c r="A69" s="20" t="s">
        <v>356</v>
      </c>
      <c r="B69" s="20" t="s">
        <v>357</v>
      </c>
      <c r="C69" s="20" t="s">
        <v>358</v>
      </c>
      <c r="D69" s="20">
        <f>"0,8062"</f>
        <v>0</v>
      </c>
      <c r="E69" s="20" t="s">
        <v>232</v>
      </c>
      <c r="F69" s="21" t="s">
        <v>78</v>
      </c>
      <c r="G69" s="21" t="s">
        <v>78</v>
      </c>
      <c r="H69" s="21" t="s">
        <v>78</v>
      </c>
      <c r="I69" s="21"/>
      <c r="J69" s="22">
        <v>0</v>
      </c>
      <c r="K69" s="20">
        <f>"0,0000"</f>
        <v>0</v>
      </c>
      <c r="L69" s="20"/>
    </row>
    <row r="71" spans="1:11" ht="16.5">
      <c r="A71" s="23" t="s">
        <v>140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2" ht="14.25">
      <c r="A72" s="16" t="s">
        <v>359</v>
      </c>
      <c r="B72" s="16" t="s">
        <v>360</v>
      </c>
      <c r="C72" s="16" t="s">
        <v>361</v>
      </c>
      <c r="D72" s="16">
        <f>"0,5306"</f>
        <v>0</v>
      </c>
      <c r="E72" s="16" t="s">
        <v>228</v>
      </c>
      <c r="F72" s="16" t="s">
        <v>362</v>
      </c>
      <c r="G72" s="16" t="s">
        <v>363</v>
      </c>
      <c r="H72" s="16" t="s">
        <v>364</v>
      </c>
      <c r="I72" s="18" t="s">
        <v>365</v>
      </c>
      <c r="J72" s="19">
        <v>345</v>
      </c>
      <c r="K72" s="16">
        <f>"183,0708"</f>
        <v>0</v>
      </c>
      <c r="L72" s="16"/>
    </row>
    <row r="73" spans="1:12" ht="14.25">
      <c r="A73" s="20" t="s">
        <v>366</v>
      </c>
      <c r="B73" s="20" t="s">
        <v>367</v>
      </c>
      <c r="C73" s="20" t="s">
        <v>368</v>
      </c>
      <c r="D73" s="20">
        <f>"0,5115"</f>
        <v>0</v>
      </c>
      <c r="E73" s="20" t="s">
        <v>369</v>
      </c>
      <c r="F73" s="21" t="s">
        <v>98</v>
      </c>
      <c r="G73" s="20" t="s">
        <v>98</v>
      </c>
      <c r="H73" s="20" t="s">
        <v>370</v>
      </c>
      <c r="I73" s="21"/>
      <c r="J73" s="22">
        <v>320</v>
      </c>
      <c r="K73" s="20">
        <f>"163,6688"</f>
        <v>0</v>
      </c>
      <c r="L73" s="20"/>
    </row>
    <row r="75" ht="16.5">
      <c r="E75" s="30" t="s">
        <v>144</v>
      </c>
    </row>
    <row r="76" ht="16.5">
      <c r="E76" s="30" t="s">
        <v>145</v>
      </c>
    </row>
    <row r="77" ht="16.5">
      <c r="E77" s="30" t="s">
        <v>146</v>
      </c>
    </row>
    <row r="78" ht="14.25">
      <c r="E78" s="1" t="s">
        <v>147</v>
      </c>
    </row>
    <row r="79" ht="14.25">
      <c r="E79" s="1" t="s">
        <v>148</v>
      </c>
    </row>
    <row r="80" ht="14.25">
      <c r="E80" s="1" t="s">
        <v>149</v>
      </c>
    </row>
    <row r="82" spans="1:2" ht="18.75">
      <c r="A82" s="31" t="s">
        <v>150</v>
      </c>
      <c r="B82" s="31"/>
    </row>
    <row r="83" spans="1:2" ht="16.5">
      <c r="A83" s="32" t="s">
        <v>151</v>
      </c>
      <c r="B83" s="32"/>
    </row>
    <row r="84" spans="1:2" ht="15.75">
      <c r="A84" s="33" t="s">
        <v>152</v>
      </c>
      <c r="B84" s="34"/>
    </row>
    <row r="85" spans="1:5" ht="15.75">
      <c r="A85" s="35" t="s">
        <v>1</v>
      </c>
      <c r="B85" s="35" t="s">
        <v>153</v>
      </c>
      <c r="C85" s="35" t="s">
        <v>154</v>
      </c>
      <c r="D85" s="35" t="s">
        <v>7</v>
      </c>
      <c r="E85" s="35" t="s">
        <v>155</v>
      </c>
    </row>
    <row r="86" spans="1:5" ht="14.25">
      <c r="A86" s="36" t="s">
        <v>208</v>
      </c>
      <c r="B86" s="1" t="s">
        <v>152</v>
      </c>
      <c r="C86" s="1" t="s">
        <v>171</v>
      </c>
      <c r="D86" s="1" t="s">
        <v>73</v>
      </c>
      <c r="E86" s="37" t="s">
        <v>371</v>
      </c>
    </row>
    <row r="87" spans="1:5" ht="14.25">
      <c r="A87" s="36" t="s">
        <v>203</v>
      </c>
      <c r="B87" s="1" t="s">
        <v>152</v>
      </c>
      <c r="C87" s="1" t="s">
        <v>372</v>
      </c>
      <c r="D87" s="1" t="s">
        <v>206</v>
      </c>
      <c r="E87" s="37" t="s">
        <v>373</v>
      </c>
    </row>
    <row r="89" spans="1:2" ht="15.75">
      <c r="A89" s="33" t="s">
        <v>160</v>
      </c>
      <c r="B89" s="34"/>
    </row>
    <row r="90" spans="1:5" ht="15.75">
      <c r="A90" s="35" t="s">
        <v>1</v>
      </c>
      <c r="B90" s="35" t="s">
        <v>153</v>
      </c>
      <c r="C90" s="35" t="s">
        <v>154</v>
      </c>
      <c r="D90" s="35" t="s">
        <v>7</v>
      </c>
      <c r="E90" s="35" t="s">
        <v>155</v>
      </c>
    </row>
    <row r="91" spans="1:5" ht="14.25">
      <c r="A91" s="36" t="s">
        <v>32</v>
      </c>
      <c r="B91" s="1" t="s">
        <v>161</v>
      </c>
      <c r="C91" s="1" t="s">
        <v>156</v>
      </c>
      <c r="D91" s="1" t="s">
        <v>120</v>
      </c>
      <c r="E91" s="37" t="s">
        <v>374</v>
      </c>
    </row>
    <row r="94" spans="1:2" ht="16.5">
      <c r="A94" s="32" t="s">
        <v>164</v>
      </c>
      <c r="B94" s="32"/>
    </row>
    <row r="95" spans="1:2" ht="15.75">
      <c r="A95" s="33" t="s">
        <v>375</v>
      </c>
      <c r="B95" s="34"/>
    </row>
    <row r="96" spans="1:5" ht="15.75">
      <c r="A96" s="35" t="s">
        <v>1</v>
      </c>
      <c r="B96" s="35" t="s">
        <v>153</v>
      </c>
      <c r="C96" s="35" t="s">
        <v>154</v>
      </c>
      <c r="D96" s="35" t="s">
        <v>7</v>
      </c>
      <c r="E96" s="35" t="s">
        <v>155</v>
      </c>
    </row>
    <row r="97" spans="1:5" ht="14.25">
      <c r="A97" s="36" t="s">
        <v>291</v>
      </c>
      <c r="B97" s="1" t="s">
        <v>376</v>
      </c>
      <c r="C97" s="1" t="s">
        <v>173</v>
      </c>
      <c r="D97" s="1" t="s">
        <v>294</v>
      </c>
      <c r="E97" s="37" t="s">
        <v>377</v>
      </c>
    </row>
    <row r="99" spans="1:2" ht="15.75">
      <c r="A99" s="33" t="s">
        <v>165</v>
      </c>
      <c r="B99" s="34"/>
    </row>
    <row r="100" spans="1:5" ht="15.75">
      <c r="A100" s="35" t="s">
        <v>1</v>
      </c>
      <c r="B100" s="35" t="s">
        <v>153</v>
      </c>
      <c r="C100" s="35" t="s">
        <v>154</v>
      </c>
      <c r="D100" s="35" t="s">
        <v>7</v>
      </c>
      <c r="E100" s="35" t="s">
        <v>155</v>
      </c>
    </row>
    <row r="101" spans="1:5" ht="14.25">
      <c r="A101" s="36" t="s">
        <v>225</v>
      </c>
      <c r="B101" s="1" t="s">
        <v>166</v>
      </c>
      <c r="C101" s="1" t="s">
        <v>171</v>
      </c>
      <c r="D101" s="1" t="s">
        <v>131</v>
      </c>
      <c r="E101" s="37" t="s">
        <v>378</v>
      </c>
    </row>
    <row r="102" spans="1:5" ht="14.25">
      <c r="A102" s="36" t="s">
        <v>214</v>
      </c>
      <c r="B102" s="1" t="s">
        <v>166</v>
      </c>
      <c r="C102" s="1" t="s">
        <v>379</v>
      </c>
      <c r="D102" s="1" t="s">
        <v>29</v>
      </c>
      <c r="E102" s="37" t="s">
        <v>380</v>
      </c>
    </row>
    <row r="104" spans="1:2" ht="15.75">
      <c r="A104" s="33" t="s">
        <v>152</v>
      </c>
      <c r="B104" s="34"/>
    </row>
    <row r="105" spans="1:5" ht="15.75">
      <c r="A105" s="35" t="s">
        <v>1</v>
      </c>
      <c r="B105" s="35" t="s">
        <v>153</v>
      </c>
      <c r="C105" s="35" t="s">
        <v>154</v>
      </c>
      <c r="D105" s="35" t="s">
        <v>7</v>
      </c>
      <c r="E105" s="35" t="s">
        <v>155</v>
      </c>
    </row>
    <row r="106" spans="1:5" ht="14.25">
      <c r="A106" s="36" t="s">
        <v>359</v>
      </c>
      <c r="B106" s="1" t="s">
        <v>152</v>
      </c>
      <c r="C106" s="1" t="s">
        <v>194</v>
      </c>
      <c r="D106" s="1" t="s">
        <v>364</v>
      </c>
      <c r="E106" s="37" t="s">
        <v>381</v>
      </c>
    </row>
    <row r="107" spans="1:5" ht="14.25">
      <c r="A107" s="36" t="s">
        <v>295</v>
      </c>
      <c r="B107" s="1" t="s">
        <v>152</v>
      </c>
      <c r="C107" s="1" t="s">
        <v>173</v>
      </c>
      <c r="D107" s="1" t="s">
        <v>139</v>
      </c>
      <c r="E107" s="37" t="s">
        <v>382</v>
      </c>
    </row>
    <row r="108" spans="1:5" ht="14.25">
      <c r="A108" s="36" t="s">
        <v>366</v>
      </c>
      <c r="B108" s="1" t="s">
        <v>152</v>
      </c>
      <c r="C108" s="1" t="s">
        <v>194</v>
      </c>
      <c r="D108" s="1" t="s">
        <v>370</v>
      </c>
      <c r="E108" s="37" t="s">
        <v>383</v>
      </c>
    </row>
    <row r="109" spans="1:5" ht="14.25">
      <c r="A109" s="36" t="s">
        <v>276</v>
      </c>
      <c r="B109" s="1" t="s">
        <v>152</v>
      </c>
      <c r="C109" s="1" t="s">
        <v>167</v>
      </c>
      <c r="D109" s="1" t="s">
        <v>333</v>
      </c>
      <c r="E109" s="37" t="s">
        <v>384</v>
      </c>
    </row>
    <row r="110" spans="1:5" ht="14.25">
      <c r="A110" s="36" t="s">
        <v>350</v>
      </c>
      <c r="B110" s="1" t="s">
        <v>152</v>
      </c>
      <c r="C110" s="1" t="s">
        <v>175</v>
      </c>
      <c r="D110" s="38" t="s">
        <v>353</v>
      </c>
      <c r="E110" s="39" t="s">
        <v>355</v>
      </c>
    </row>
    <row r="111" spans="1:5" ht="14.25">
      <c r="A111" s="36" t="s">
        <v>37</v>
      </c>
      <c r="B111" s="1" t="s">
        <v>152</v>
      </c>
      <c r="C111" s="1" t="s">
        <v>156</v>
      </c>
      <c r="D111" s="1" t="s">
        <v>219</v>
      </c>
      <c r="E111" s="37" t="s">
        <v>385</v>
      </c>
    </row>
    <row r="112" spans="1:5" ht="14.25">
      <c r="A112" s="36" t="s">
        <v>75</v>
      </c>
      <c r="B112" s="1" t="s">
        <v>152</v>
      </c>
      <c r="C112" s="1" t="s">
        <v>167</v>
      </c>
      <c r="D112" s="1" t="s">
        <v>282</v>
      </c>
      <c r="E112" s="37" t="s">
        <v>386</v>
      </c>
    </row>
    <row r="113" spans="1:5" ht="14.25">
      <c r="A113" s="36" t="s">
        <v>330</v>
      </c>
      <c r="B113" s="1" t="s">
        <v>152</v>
      </c>
      <c r="C113" s="1" t="s">
        <v>169</v>
      </c>
      <c r="D113" s="1" t="s">
        <v>333</v>
      </c>
      <c r="E113" s="37" t="s">
        <v>387</v>
      </c>
    </row>
    <row r="114" spans="1:5" ht="14.25">
      <c r="A114" s="36" t="s">
        <v>229</v>
      </c>
      <c r="B114" s="1" t="s">
        <v>152</v>
      </c>
      <c r="C114" s="1" t="s">
        <v>171</v>
      </c>
      <c r="D114" s="1" t="s">
        <v>78</v>
      </c>
      <c r="E114" s="37" t="s">
        <v>388</v>
      </c>
    </row>
    <row r="115" spans="1:5" ht="14.25">
      <c r="A115" s="36" t="s">
        <v>300</v>
      </c>
      <c r="B115" s="1" t="s">
        <v>152</v>
      </c>
      <c r="C115" s="1" t="s">
        <v>173</v>
      </c>
      <c r="D115" s="1" t="s">
        <v>42</v>
      </c>
      <c r="E115" s="37" t="s">
        <v>389</v>
      </c>
    </row>
    <row r="116" spans="1:5" ht="14.25">
      <c r="A116" s="36" t="s">
        <v>132</v>
      </c>
      <c r="B116" s="1" t="s">
        <v>152</v>
      </c>
      <c r="C116" s="1" t="s">
        <v>169</v>
      </c>
      <c r="D116" s="1" t="s">
        <v>279</v>
      </c>
      <c r="E116" s="37" t="s">
        <v>390</v>
      </c>
    </row>
    <row r="117" spans="1:5" ht="14.25">
      <c r="A117" s="36" t="s">
        <v>284</v>
      </c>
      <c r="B117" s="1" t="s">
        <v>152</v>
      </c>
      <c r="C117" s="1" t="s">
        <v>167</v>
      </c>
      <c r="D117" s="1" t="s">
        <v>41</v>
      </c>
      <c r="E117" s="37" t="s">
        <v>391</v>
      </c>
    </row>
    <row r="118" spans="1:5" ht="14.25">
      <c r="A118" s="36" t="s">
        <v>334</v>
      </c>
      <c r="B118" s="1" t="s">
        <v>152</v>
      </c>
      <c r="C118" s="1" t="s">
        <v>169</v>
      </c>
      <c r="D118" s="1" t="s">
        <v>337</v>
      </c>
      <c r="E118" s="37" t="s">
        <v>392</v>
      </c>
    </row>
    <row r="119" spans="1:5" ht="14.25">
      <c r="A119" s="36" t="s">
        <v>338</v>
      </c>
      <c r="B119" s="1" t="s">
        <v>152</v>
      </c>
      <c r="C119" s="1" t="s">
        <v>169</v>
      </c>
      <c r="D119" s="1" t="s">
        <v>42</v>
      </c>
      <c r="E119" s="37" t="s">
        <v>393</v>
      </c>
    </row>
    <row r="120" spans="1:5" ht="14.25">
      <c r="A120" s="36" t="s">
        <v>269</v>
      </c>
      <c r="B120" s="1" t="s">
        <v>152</v>
      </c>
      <c r="C120" s="1" t="s">
        <v>181</v>
      </c>
      <c r="D120" s="1" t="s">
        <v>40</v>
      </c>
      <c r="E120" s="37" t="s">
        <v>394</v>
      </c>
    </row>
    <row r="121" spans="1:5" ht="14.25">
      <c r="A121" s="36" t="s">
        <v>234</v>
      </c>
      <c r="B121" s="1" t="s">
        <v>152</v>
      </c>
      <c r="C121" s="1" t="s">
        <v>171</v>
      </c>
      <c r="D121" s="1" t="s">
        <v>17</v>
      </c>
      <c r="E121" s="37" t="s">
        <v>395</v>
      </c>
    </row>
    <row r="123" spans="1:2" ht="15.75">
      <c r="A123" s="33" t="s">
        <v>160</v>
      </c>
      <c r="B123" s="34"/>
    </row>
    <row r="124" spans="1:5" ht="15.75">
      <c r="A124" s="35" t="s">
        <v>1</v>
      </c>
      <c r="B124" s="35" t="s">
        <v>153</v>
      </c>
      <c r="C124" s="35" t="s">
        <v>154</v>
      </c>
      <c r="D124" s="35" t="s">
        <v>7</v>
      </c>
      <c r="E124" s="35" t="s">
        <v>155</v>
      </c>
    </row>
    <row r="125" spans="1:5" ht="14.25">
      <c r="A125" s="36" t="s">
        <v>313</v>
      </c>
      <c r="B125" s="1" t="s">
        <v>192</v>
      </c>
      <c r="C125" s="1" t="s">
        <v>173</v>
      </c>
      <c r="D125" s="1" t="s">
        <v>316</v>
      </c>
      <c r="E125" s="37" t="s">
        <v>396</v>
      </c>
    </row>
    <row r="126" spans="1:5" ht="14.25">
      <c r="A126" s="36" t="s">
        <v>247</v>
      </c>
      <c r="B126" s="1" t="s">
        <v>190</v>
      </c>
      <c r="C126" s="1" t="s">
        <v>171</v>
      </c>
      <c r="D126" s="1" t="s">
        <v>250</v>
      </c>
      <c r="E126" s="37" t="s">
        <v>397</v>
      </c>
    </row>
    <row r="127" spans="1:5" ht="14.25">
      <c r="A127" s="36" t="s">
        <v>317</v>
      </c>
      <c r="B127" s="1" t="s">
        <v>192</v>
      </c>
      <c r="C127" s="1" t="s">
        <v>173</v>
      </c>
      <c r="D127" s="1" t="s">
        <v>40</v>
      </c>
      <c r="E127" s="37" t="s">
        <v>398</v>
      </c>
    </row>
    <row r="128" spans="1:5" ht="14.25">
      <c r="A128" s="36" t="s">
        <v>276</v>
      </c>
      <c r="B128" s="1" t="s">
        <v>399</v>
      </c>
      <c r="C128" s="1" t="s">
        <v>167</v>
      </c>
      <c r="D128" s="1" t="s">
        <v>333</v>
      </c>
      <c r="E128" s="37" t="s">
        <v>400</v>
      </c>
    </row>
    <row r="129" spans="1:5" ht="14.25">
      <c r="A129" s="36" t="s">
        <v>321</v>
      </c>
      <c r="B129" s="1" t="s">
        <v>186</v>
      </c>
      <c r="C129" s="1" t="s">
        <v>173</v>
      </c>
      <c r="D129" s="1" t="s">
        <v>131</v>
      </c>
      <c r="E129" s="37" t="s">
        <v>401</v>
      </c>
    </row>
    <row r="130" spans="1:5" ht="14.25">
      <c r="A130" s="36" t="s">
        <v>284</v>
      </c>
      <c r="B130" s="1" t="s">
        <v>399</v>
      </c>
      <c r="C130" s="1" t="s">
        <v>167</v>
      </c>
      <c r="D130" s="1" t="s">
        <v>41</v>
      </c>
      <c r="E130" s="37" t="s">
        <v>402</v>
      </c>
    </row>
    <row r="131" spans="1:5" ht="14.25">
      <c r="A131" s="36" t="s">
        <v>338</v>
      </c>
      <c r="B131" s="1" t="s">
        <v>399</v>
      </c>
      <c r="C131" s="1" t="s">
        <v>169</v>
      </c>
      <c r="D131" s="1" t="s">
        <v>42</v>
      </c>
      <c r="E131" s="37" t="s">
        <v>403</v>
      </c>
    </row>
    <row r="132" spans="1:5" ht="14.25">
      <c r="A132" s="36" t="s">
        <v>256</v>
      </c>
      <c r="B132" s="1" t="s">
        <v>404</v>
      </c>
      <c r="C132" s="1" t="s">
        <v>171</v>
      </c>
      <c r="D132" s="1" t="s">
        <v>218</v>
      </c>
      <c r="E132" s="37" t="s">
        <v>405</v>
      </c>
    </row>
    <row r="133" spans="1:5" ht="14.25">
      <c r="A133" s="36" t="s">
        <v>243</v>
      </c>
      <c r="B133" s="1" t="s">
        <v>161</v>
      </c>
      <c r="C133" s="1" t="s">
        <v>171</v>
      </c>
      <c r="D133" s="1" t="s">
        <v>246</v>
      </c>
      <c r="E133" s="37" t="s">
        <v>406</v>
      </c>
    </row>
    <row r="134" spans="1:5" ht="14.25">
      <c r="A134" s="36" t="s">
        <v>220</v>
      </c>
      <c r="B134" s="1" t="s">
        <v>188</v>
      </c>
      <c r="C134" s="1" t="s">
        <v>156</v>
      </c>
      <c r="D134" s="1" t="s">
        <v>46</v>
      </c>
      <c r="E134" s="37" t="s">
        <v>407</v>
      </c>
    </row>
    <row r="135" spans="1:5" ht="14.25">
      <c r="A135" s="36" t="s">
        <v>309</v>
      </c>
      <c r="B135" s="1" t="s">
        <v>190</v>
      </c>
      <c r="C135" s="1" t="s">
        <v>173</v>
      </c>
      <c r="D135" s="1" t="s">
        <v>46</v>
      </c>
      <c r="E135" s="37" t="s">
        <v>408</v>
      </c>
    </row>
  </sheetData>
  <sheetProtection selectLockedCells="1" selectUnlockedCells="1"/>
  <mergeCells count="22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8:K8"/>
    <mergeCell ref="A11:K11"/>
    <mergeCell ref="A14:K14"/>
    <mergeCell ref="A17:K17"/>
    <mergeCell ref="A21:K21"/>
    <mergeCell ref="A31:K31"/>
    <mergeCell ref="A38:K38"/>
    <mergeCell ref="A46:K46"/>
    <mergeCell ref="A58:K58"/>
    <mergeCell ref="A67:K67"/>
    <mergeCell ref="A71:K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55"/>
  <sheetViews>
    <sheetView workbookViewId="0" topLeftCell="A1">
      <selection activeCell="A67" sqref="A67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9" width="5.50390625" style="1" customWidth="1"/>
    <col min="10" max="10" width="6.375" style="2" customWidth="1"/>
    <col min="11" max="11" width="8.50390625" style="1" customWidth="1"/>
    <col min="12" max="12" width="14.00390625" style="1" customWidth="1"/>
  </cols>
  <sheetData>
    <row r="1" spans="1:12" s="4" customFormat="1" ht="15" customHeight="1">
      <c r="A1" s="3" t="s">
        <v>2621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6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993</v>
      </c>
      <c r="G3" s="8"/>
      <c r="H3" s="8"/>
      <c r="I3" s="8"/>
      <c r="J3" s="9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9"/>
      <c r="K4" s="7"/>
      <c r="L4" s="10"/>
    </row>
    <row r="5" spans="1:11" ht="16.5">
      <c r="A5" s="15" t="s">
        <v>2278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27" t="s">
        <v>2622</v>
      </c>
      <c r="B6" s="27" t="s">
        <v>2623</v>
      </c>
      <c r="C6" s="27" t="s">
        <v>2624</v>
      </c>
      <c r="D6" s="27">
        <f>"1,4788"</f>
        <v>0</v>
      </c>
      <c r="E6" s="27" t="s">
        <v>536</v>
      </c>
      <c r="F6" s="27" t="s">
        <v>22</v>
      </c>
      <c r="G6" s="27" t="s">
        <v>16</v>
      </c>
      <c r="H6" s="28" t="s">
        <v>17</v>
      </c>
      <c r="I6" s="28"/>
      <c r="J6" s="29">
        <v>100</v>
      </c>
      <c r="K6" s="27">
        <f>"147,8831"</f>
        <v>0</v>
      </c>
      <c r="L6" s="27"/>
    </row>
    <row r="8" spans="1:11" ht="16.5">
      <c r="A8" s="23" t="s">
        <v>2286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14.25">
      <c r="A9" s="16" t="s">
        <v>2625</v>
      </c>
      <c r="B9" s="16" t="s">
        <v>2626</v>
      </c>
      <c r="C9" s="16" t="s">
        <v>2627</v>
      </c>
      <c r="D9" s="16">
        <f>"1,1809"</f>
        <v>0</v>
      </c>
      <c r="E9" s="16" t="s">
        <v>15</v>
      </c>
      <c r="F9" s="16" t="s">
        <v>62</v>
      </c>
      <c r="G9" s="16" t="s">
        <v>36</v>
      </c>
      <c r="H9" s="16" t="s">
        <v>774</v>
      </c>
      <c r="I9" s="18"/>
      <c r="J9" s="19">
        <v>142.5</v>
      </c>
      <c r="K9" s="16">
        <f>"168,2782"</f>
        <v>0</v>
      </c>
      <c r="L9" s="16"/>
    </row>
    <row r="10" spans="1:12" ht="14.25">
      <c r="A10" s="20" t="s">
        <v>2628</v>
      </c>
      <c r="B10" s="20" t="s">
        <v>2629</v>
      </c>
      <c r="C10" s="20" t="s">
        <v>2630</v>
      </c>
      <c r="D10" s="20">
        <f>"1,1922"</f>
        <v>0</v>
      </c>
      <c r="E10" s="20" t="s">
        <v>15</v>
      </c>
      <c r="F10" s="21" t="s">
        <v>35</v>
      </c>
      <c r="G10" s="20" t="s">
        <v>30</v>
      </c>
      <c r="H10" s="20" t="s">
        <v>62</v>
      </c>
      <c r="I10" s="21"/>
      <c r="J10" s="22">
        <v>135</v>
      </c>
      <c r="K10" s="20">
        <f>"160,9470"</f>
        <v>0</v>
      </c>
      <c r="L10" s="20"/>
    </row>
    <row r="12" spans="1:11" ht="16.5">
      <c r="A12" s="23" t="s">
        <v>213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2" ht="14.25">
      <c r="A13" s="27" t="s">
        <v>2631</v>
      </c>
      <c r="B13" s="27" t="s">
        <v>2632</v>
      </c>
      <c r="C13" s="27" t="s">
        <v>2633</v>
      </c>
      <c r="D13" s="27">
        <f>"1,1178"</f>
        <v>0</v>
      </c>
      <c r="E13" s="27" t="s">
        <v>15</v>
      </c>
      <c r="F13" s="27" t="s">
        <v>17</v>
      </c>
      <c r="G13" s="27" t="s">
        <v>29</v>
      </c>
      <c r="H13" s="28" t="s">
        <v>35</v>
      </c>
      <c r="I13" s="28"/>
      <c r="J13" s="29">
        <v>120</v>
      </c>
      <c r="K13" s="27">
        <f>"134,1360"</f>
        <v>0</v>
      </c>
      <c r="L13" s="27"/>
    </row>
    <row r="15" spans="1:11" ht="16.5">
      <c r="A15" s="23" t="s">
        <v>583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2" ht="14.25">
      <c r="A16" s="16" t="s">
        <v>2634</v>
      </c>
      <c r="B16" s="16" t="s">
        <v>2635</v>
      </c>
      <c r="C16" s="16" t="s">
        <v>586</v>
      </c>
      <c r="D16" s="16">
        <f>"1,0561"</f>
        <v>0</v>
      </c>
      <c r="E16" s="16" t="s">
        <v>15</v>
      </c>
      <c r="F16" s="16" t="s">
        <v>16</v>
      </c>
      <c r="G16" s="16" t="s">
        <v>217</v>
      </c>
      <c r="H16" s="18" t="s">
        <v>17</v>
      </c>
      <c r="I16" s="18"/>
      <c r="J16" s="19">
        <v>105</v>
      </c>
      <c r="K16" s="16">
        <f>"110,8905"</f>
        <v>0</v>
      </c>
      <c r="L16" s="16"/>
    </row>
    <row r="17" spans="1:12" ht="14.25">
      <c r="A17" s="24" t="s">
        <v>2636</v>
      </c>
      <c r="B17" s="24" t="s">
        <v>2637</v>
      </c>
      <c r="C17" s="24" t="s">
        <v>2638</v>
      </c>
      <c r="D17" s="24">
        <f>"1,1025"</f>
        <v>0</v>
      </c>
      <c r="E17" s="24" t="s">
        <v>15</v>
      </c>
      <c r="F17" s="24" t="s">
        <v>62</v>
      </c>
      <c r="G17" s="24" t="s">
        <v>36</v>
      </c>
      <c r="H17" s="25" t="s">
        <v>120</v>
      </c>
      <c r="I17" s="25"/>
      <c r="J17" s="26">
        <v>140</v>
      </c>
      <c r="K17" s="24">
        <f>"154,3500"</f>
        <v>0</v>
      </c>
      <c r="L17" s="24"/>
    </row>
    <row r="18" spans="1:12" ht="14.25">
      <c r="A18" s="24" t="s">
        <v>2639</v>
      </c>
      <c r="B18" s="24" t="s">
        <v>2640</v>
      </c>
      <c r="C18" s="24" t="s">
        <v>2641</v>
      </c>
      <c r="D18" s="24">
        <f>"1,0484"</f>
        <v>0</v>
      </c>
      <c r="E18" s="24" t="s">
        <v>15</v>
      </c>
      <c r="F18" s="24" t="s">
        <v>555</v>
      </c>
      <c r="G18" s="24" t="s">
        <v>35</v>
      </c>
      <c r="H18" s="24" t="s">
        <v>30</v>
      </c>
      <c r="I18" s="25"/>
      <c r="J18" s="26">
        <v>130</v>
      </c>
      <c r="K18" s="24">
        <f>"136,2920"</f>
        <v>0</v>
      </c>
      <c r="L18" s="24"/>
    </row>
    <row r="19" spans="1:12" ht="14.25">
      <c r="A19" s="24" t="s">
        <v>2642</v>
      </c>
      <c r="B19" s="24" t="s">
        <v>2643</v>
      </c>
      <c r="C19" s="24" t="s">
        <v>2644</v>
      </c>
      <c r="D19" s="24">
        <f>"1,0653"</f>
        <v>0</v>
      </c>
      <c r="E19" s="24" t="s">
        <v>15</v>
      </c>
      <c r="F19" s="25" t="s">
        <v>18</v>
      </c>
      <c r="G19" s="25" t="s">
        <v>29</v>
      </c>
      <c r="H19" s="24" t="s">
        <v>1356</v>
      </c>
      <c r="I19" s="25"/>
      <c r="J19" s="26">
        <v>122.5</v>
      </c>
      <c r="K19" s="24">
        <f>"130,4992"</f>
        <v>0</v>
      </c>
      <c r="L19" s="24"/>
    </row>
    <row r="20" spans="1:12" ht="14.25">
      <c r="A20" s="20" t="s">
        <v>2645</v>
      </c>
      <c r="B20" s="20" t="s">
        <v>2646</v>
      </c>
      <c r="C20" s="20" t="s">
        <v>2647</v>
      </c>
      <c r="D20" s="20">
        <f>"1,0530"</f>
        <v>0</v>
      </c>
      <c r="E20" s="20" t="s">
        <v>15</v>
      </c>
      <c r="F20" s="20" t="s">
        <v>217</v>
      </c>
      <c r="G20" s="21" t="s">
        <v>18</v>
      </c>
      <c r="H20" s="20" t="s">
        <v>18</v>
      </c>
      <c r="I20" s="21"/>
      <c r="J20" s="22">
        <v>115</v>
      </c>
      <c r="K20" s="20">
        <f>"121,0950"</f>
        <v>0</v>
      </c>
      <c r="L20" s="20"/>
    </row>
    <row r="22" spans="1:11" ht="16.5">
      <c r="A22" s="23" t="s">
        <v>202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2" ht="14.25">
      <c r="A23" s="20" t="s">
        <v>2648</v>
      </c>
      <c r="B23" s="20" t="s">
        <v>2649</v>
      </c>
      <c r="C23" s="20" t="s">
        <v>2650</v>
      </c>
      <c r="D23" s="20">
        <f>"0,9942"</f>
        <v>0</v>
      </c>
      <c r="E23" s="20" t="s">
        <v>15</v>
      </c>
      <c r="F23" s="20" t="s">
        <v>217</v>
      </c>
      <c r="G23" s="21" t="s">
        <v>17</v>
      </c>
      <c r="H23" s="21" t="s">
        <v>17</v>
      </c>
      <c r="I23" s="21"/>
      <c r="J23" s="22" t="s">
        <v>217</v>
      </c>
      <c r="K23" s="20" t="s">
        <v>2651</v>
      </c>
      <c r="L23" s="20"/>
    </row>
    <row r="24" spans="1:12" ht="14.25">
      <c r="A24" s="16" t="s">
        <v>2652</v>
      </c>
      <c r="B24" s="16" t="s">
        <v>2653</v>
      </c>
      <c r="C24" s="16" t="s">
        <v>2654</v>
      </c>
      <c r="D24" s="16">
        <f>"1,0024"</f>
        <v>0</v>
      </c>
      <c r="E24" s="16" t="s">
        <v>15</v>
      </c>
      <c r="F24" s="18" t="s">
        <v>555</v>
      </c>
      <c r="G24" s="18" t="s">
        <v>1226</v>
      </c>
      <c r="H24" s="18" t="s">
        <v>1226</v>
      </c>
      <c r="I24" s="18"/>
      <c r="J24" s="19">
        <v>0</v>
      </c>
      <c r="K24" s="16">
        <f>"0,0000"</f>
        <v>0</v>
      </c>
      <c r="L24" s="16"/>
    </row>
    <row r="26" spans="1:11" ht="16.5">
      <c r="A26" s="23" t="s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2" ht="14.25">
      <c r="A27" s="16" t="s">
        <v>2655</v>
      </c>
      <c r="B27" s="16" t="s">
        <v>2656</v>
      </c>
      <c r="C27" s="16" t="s">
        <v>609</v>
      </c>
      <c r="D27" s="16">
        <f>"0,9123"</f>
        <v>0</v>
      </c>
      <c r="E27" s="16" t="s">
        <v>15</v>
      </c>
      <c r="F27" s="16" t="s">
        <v>36</v>
      </c>
      <c r="G27" s="16" t="s">
        <v>672</v>
      </c>
      <c r="H27" s="18" t="s">
        <v>1347</v>
      </c>
      <c r="I27" s="18"/>
      <c r="J27" s="19">
        <v>147.5</v>
      </c>
      <c r="K27" s="16">
        <f>"134,5716"</f>
        <v>0</v>
      </c>
      <c r="L27" s="16"/>
    </row>
    <row r="28" spans="1:12" ht="14.25">
      <c r="A28" s="24" t="s">
        <v>2657</v>
      </c>
      <c r="B28" s="24" t="s">
        <v>2658</v>
      </c>
      <c r="C28" s="24" t="s">
        <v>2659</v>
      </c>
      <c r="D28" s="24">
        <f>"0,9768"</f>
        <v>0</v>
      </c>
      <c r="E28" s="24" t="s">
        <v>15</v>
      </c>
      <c r="F28" s="25" t="s">
        <v>35</v>
      </c>
      <c r="G28" s="24" t="s">
        <v>35</v>
      </c>
      <c r="H28" s="25" t="s">
        <v>62</v>
      </c>
      <c r="I28" s="25"/>
      <c r="J28" s="26">
        <v>125</v>
      </c>
      <c r="K28" s="24">
        <f>"122,1026"</f>
        <v>0</v>
      </c>
      <c r="L28" s="24"/>
    </row>
    <row r="29" spans="1:12" ht="14.25">
      <c r="A29" s="24" t="s">
        <v>2660</v>
      </c>
      <c r="B29" s="24" t="s">
        <v>2661</v>
      </c>
      <c r="C29" s="24" t="s">
        <v>2322</v>
      </c>
      <c r="D29" s="24">
        <f>"0,9997"</f>
        <v>0</v>
      </c>
      <c r="E29" s="24" t="s">
        <v>15</v>
      </c>
      <c r="F29" s="24" t="s">
        <v>120</v>
      </c>
      <c r="G29" s="24" t="s">
        <v>678</v>
      </c>
      <c r="H29" s="25" t="s">
        <v>1347</v>
      </c>
      <c r="I29" s="25"/>
      <c r="J29" s="26">
        <v>152.5</v>
      </c>
      <c r="K29" s="24">
        <f>"152,4537"</f>
        <v>0</v>
      </c>
      <c r="L29" s="24"/>
    </row>
    <row r="30" spans="1:12" ht="14.25">
      <c r="A30" s="20" t="s">
        <v>2655</v>
      </c>
      <c r="B30" s="20" t="s">
        <v>2662</v>
      </c>
      <c r="C30" s="20" t="s">
        <v>609</v>
      </c>
      <c r="D30" s="20">
        <f>"0,9625"</f>
        <v>0</v>
      </c>
      <c r="E30" s="20" t="s">
        <v>15</v>
      </c>
      <c r="F30" s="20" t="s">
        <v>36</v>
      </c>
      <c r="G30" s="20" t="s">
        <v>672</v>
      </c>
      <c r="H30" s="21" t="s">
        <v>1347</v>
      </c>
      <c r="I30" s="21"/>
      <c r="J30" s="22">
        <v>147.5</v>
      </c>
      <c r="K30" s="20">
        <f>"141,9731"</f>
        <v>0</v>
      </c>
      <c r="L30" s="20"/>
    </row>
    <row r="32" spans="1:11" ht="16.5">
      <c r="A32" s="23" t="s">
        <v>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2" ht="14.25">
      <c r="A33" s="16" t="s">
        <v>2663</v>
      </c>
      <c r="B33" s="16" t="s">
        <v>51</v>
      </c>
      <c r="C33" s="16" t="s">
        <v>2664</v>
      </c>
      <c r="D33" s="16">
        <f>"0,8945"</f>
        <v>0</v>
      </c>
      <c r="E33" s="16" t="s">
        <v>15</v>
      </c>
      <c r="F33" s="18" t="s">
        <v>17</v>
      </c>
      <c r="G33" s="16" t="s">
        <v>29</v>
      </c>
      <c r="H33" s="18" t="s">
        <v>30</v>
      </c>
      <c r="I33" s="18"/>
      <c r="J33" s="19">
        <v>120</v>
      </c>
      <c r="K33" s="16">
        <f>"107,3400"</f>
        <v>0</v>
      </c>
      <c r="L33" s="16"/>
    </row>
    <row r="34" spans="1:12" ht="14.25">
      <c r="A34" s="20" t="s">
        <v>2665</v>
      </c>
      <c r="B34" s="20" t="s">
        <v>2666</v>
      </c>
      <c r="C34" s="20" t="s">
        <v>2357</v>
      </c>
      <c r="D34" s="20">
        <f>"0,8491"</f>
        <v>0</v>
      </c>
      <c r="E34" s="20" t="s">
        <v>15</v>
      </c>
      <c r="F34" s="20" t="s">
        <v>35</v>
      </c>
      <c r="G34" s="21" t="s">
        <v>62</v>
      </c>
      <c r="H34" s="20" t="s">
        <v>62</v>
      </c>
      <c r="I34" s="21"/>
      <c r="J34" s="22">
        <v>135</v>
      </c>
      <c r="K34" s="20">
        <f>"114,6285"</f>
        <v>0</v>
      </c>
      <c r="L34" s="20"/>
    </row>
    <row r="36" spans="1:11" ht="16.5">
      <c r="A36" s="23" t="s">
        <v>63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2" ht="14.25">
      <c r="A37" s="27" t="s">
        <v>2667</v>
      </c>
      <c r="B37" s="27" t="s">
        <v>2668</v>
      </c>
      <c r="C37" s="27" t="s">
        <v>2669</v>
      </c>
      <c r="D37" s="27">
        <f>"0,7814"</f>
        <v>0</v>
      </c>
      <c r="E37" s="27" t="s">
        <v>15</v>
      </c>
      <c r="F37" s="27" t="s">
        <v>30</v>
      </c>
      <c r="G37" s="27" t="s">
        <v>62</v>
      </c>
      <c r="H37" s="27" t="s">
        <v>36</v>
      </c>
      <c r="I37" s="28"/>
      <c r="J37" s="29">
        <v>140</v>
      </c>
      <c r="K37" s="27">
        <f>"109,3890"</f>
        <v>0</v>
      </c>
      <c r="L37" s="27"/>
    </row>
    <row r="39" spans="1:11" ht="16.5">
      <c r="A39" s="23" t="s">
        <v>213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2" ht="14.25">
      <c r="A40" s="27" t="s">
        <v>1075</v>
      </c>
      <c r="B40" s="27" t="s">
        <v>1076</v>
      </c>
      <c r="C40" s="27" t="s">
        <v>2281</v>
      </c>
      <c r="D40" s="27">
        <f>"1,3243"</f>
        <v>0</v>
      </c>
      <c r="E40" s="27" t="s">
        <v>15</v>
      </c>
      <c r="F40" s="28" t="s">
        <v>40</v>
      </c>
      <c r="G40" s="28"/>
      <c r="H40" s="28"/>
      <c r="I40" s="28"/>
      <c r="J40" s="29">
        <v>0</v>
      </c>
      <c r="K40" s="27">
        <f>"0,0000"</f>
        <v>0</v>
      </c>
      <c r="L40" s="27"/>
    </row>
    <row r="42" spans="1:11" ht="16.5">
      <c r="A42" s="23" t="s">
        <v>11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2" ht="14.25">
      <c r="A43" s="16" t="s">
        <v>2670</v>
      </c>
      <c r="B43" s="16" t="s">
        <v>2671</v>
      </c>
      <c r="C43" s="16" t="s">
        <v>2672</v>
      </c>
      <c r="D43" s="16">
        <f>"0,7743"</f>
        <v>0</v>
      </c>
      <c r="E43" s="16" t="s">
        <v>15</v>
      </c>
      <c r="F43" s="16" t="s">
        <v>47</v>
      </c>
      <c r="G43" s="16" t="s">
        <v>131</v>
      </c>
      <c r="H43" s="18" t="s">
        <v>87</v>
      </c>
      <c r="I43" s="18"/>
      <c r="J43" s="19">
        <v>190</v>
      </c>
      <c r="K43" s="16">
        <f>"147,1170"</f>
        <v>0</v>
      </c>
      <c r="L43" s="16"/>
    </row>
    <row r="44" spans="1:12" ht="14.25">
      <c r="A44" s="20" t="s">
        <v>2673</v>
      </c>
      <c r="B44" s="20" t="s">
        <v>2674</v>
      </c>
      <c r="C44" s="20" t="s">
        <v>2675</v>
      </c>
      <c r="D44" s="20">
        <f>"0,7561"</f>
        <v>0</v>
      </c>
      <c r="E44" s="20" t="s">
        <v>15</v>
      </c>
      <c r="F44" s="20" t="s">
        <v>92</v>
      </c>
      <c r="G44" s="21" t="s">
        <v>626</v>
      </c>
      <c r="H44" s="21" t="s">
        <v>349</v>
      </c>
      <c r="I44" s="21"/>
      <c r="J44" s="22" t="s">
        <v>627</v>
      </c>
      <c r="K44" s="20" t="s">
        <v>2676</v>
      </c>
      <c r="L44" s="20"/>
    </row>
    <row r="46" spans="1:11" ht="16.5">
      <c r="A46" s="23" t="s">
        <v>25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2" ht="14.25">
      <c r="A47" s="16" t="s">
        <v>2677</v>
      </c>
      <c r="B47" s="16" t="s">
        <v>2678</v>
      </c>
      <c r="C47" s="16" t="s">
        <v>551</v>
      </c>
      <c r="D47" s="16">
        <f>"0,6998"</f>
        <v>0</v>
      </c>
      <c r="E47" s="16" t="s">
        <v>15</v>
      </c>
      <c r="F47" s="18" t="s">
        <v>40</v>
      </c>
      <c r="G47" s="16" t="s">
        <v>219</v>
      </c>
      <c r="H47" s="16" t="s">
        <v>41</v>
      </c>
      <c r="I47" s="18"/>
      <c r="J47" s="19">
        <v>240</v>
      </c>
      <c r="K47" s="16">
        <f>"167,9400"</f>
        <v>0</v>
      </c>
      <c r="L47" s="16"/>
    </row>
    <row r="48" spans="1:12" ht="14.25">
      <c r="A48" s="24" t="s">
        <v>2679</v>
      </c>
      <c r="B48" s="24" t="s">
        <v>2680</v>
      </c>
      <c r="C48" s="24" t="s">
        <v>561</v>
      </c>
      <c r="D48" s="24">
        <f>"0,6892"</f>
        <v>0</v>
      </c>
      <c r="E48" s="24" t="s">
        <v>15</v>
      </c>
      <c r="F48" s="24" t="s">
        <v>798</v>
      </c>
      <c r="G48" s="25" t="s">
        <v>88</v>
      </c>
      <c r="H48" s="25" t="s">
        <v>74</v>
      </c>
      <c r="I48" s="25"/>
      <c r="J48" s="26" t="s">
        <v>798</v>
      </c>
      <c r="K48" s="24" t="s">
        <v>2681</v>
      </c>
      <c r="L48" s="24"/>
    </row>
    <row r="49" spans="1:12" ht="14.25">
      <c r="A49" s="24" t="s">
        <v>2682</v>
      </c>
      <c r="B49" s="24" t="s">
        <v>2683</v>
      </c>
      <c r="C49" s="24" t="s">
        <v>558</v>
      </c>
      <c r="D49" s="24">
        <f>"0,7134"</f>
        <v>0</v>
      </c>
      <c r="E49" s="24" t="s">
        <v>15</v>
      </c>
      <c r="F49" s="24" t="s">
        <v>87</v>
      </c>
      <c r="G49" s="24" t="s">
        <v>250</v>
      </c>
      <c r="H49" s="24" t="s">
        <v>83</v>
      </c>
      <c r="I49" s="25"/>
      <c r="J49" s="26">
        <v>225</v>
      </c>
      <c r="K49" s="24">
        <f>"160,5151"</f>
        <v>0</v>
      </c>
      <c r="L49" s="24"/>
    </row>
    <row r="50" spans="1:12" ht="14.25">
      <c r="A50" s="24" t="s">
        <v>2368</v>
      </c>
      <c r="B50" s="24" t="s">
        <v>2369</v>
      </c>
      <c r="C50" s="24" t="s">
        <v>34</v>
      </c>
      <c r="D50" s="24">
        <f>"0,7637"</f>
        <v>0</v>
      </c>
      <c r="E50" s="24" t="s">
        <v>15</v>
      </c>
      <c r="F50" s="24" t="s">
        <v>47</v>
      </c>
      <c r="G50" s="24" t="s">
        <v>240</v>
      </c>
      <c r="H50" s="25" t="s">
        <v>131</v>
      </c>
      <c r="I50" s="25"/>
      <c r="J50" s="26">
        <v>185</v>
      </c>
      <c r="K50" s="24">
        <f>"141,2802"</f>
        <v>0</v>
      </c>
      <c r="L50" s="24" t="s">
        <v>2371</v>
      </c>
    </row>
    <row r="51" spans="1:12" ht="14.25">
      <c r="A51" s="24" t="s">
        <v>2684</v>
      </c>
      <c r="B51" s="24" t="s">
        <v>2685</v>
      </c>
      <c r="C51" s="24" t="s">
        <v>1346</v>
      </c>
      <c r="D51" s="24">
        <f>"0,7891"</f>
        <v>0</v>
      </c>
      <c r="E51" s="24" t="s">
        <v>15</v>
      </c>
      <c r="F51" s="24" t="s">
        <v>46</v>
      </c>
      <c r="G51" s="24" t="s">
        <v>47</v>
      </c>
      <c r="H51" s="25" t="s">
        <v>131</v>
      </c>
      <c r="I51" s="25"/>
      <c r="J51" s="26">
        <v>180</v>
      </c>
      <c r="K51" s="24">
        <f>"142,0342"</f>
        <v>0</v>
      </c>
      <c r="L51" s="24"/>
    </row>
    <row r="52" spans="1:12" ht="14.25">
      <c r="A52" s="24" t="s">
        <v>2686</v>
      </c>
      <c r="B52" s="24" t="s">
        <v>2687</v>
      </c>
      <c r="C52" s="24" t="s">
        <v>1221</v>
      </c>
      <c r="D52" s="24">
        <f>"0,8665"</f>
        <v>0</v>
      </c>
      <c r="E52" s="24" t="s">
        <v>15</v>
      </c>
      <c r="F52" s="24" t="s">
        <v>653</v>
      </c>
      <c r="G52" s="24" t="s">
        <v>240</v>
      </c>
      <c r="H52" s="25" t="s">
        <v>798</v>
      </c>
      <c r="I52" s="25"/>
      <c r="J52" s="26">
        <v>185</v>
      </c>
      <c r="K52" s="24">
        <f>"160,3082"</f>
        <v>0</v>
      </c>
      <c r="L52" s="24"/>
    </row>
    <row r="53" spans="1:12" ht="14.25">
      <c r="A53" s="24" t="s">
        <v>1028</v>
      </c>
      <c r="B53" s="24" t="s">
        <v>1029</v>
      </c>
      <c r="C53" s="24" t="s">
        <v>1779</v>
      </c>
      <c r="D53" s="24">
        <f>"1,2685"</f>
        <v>0</v>
      </c>
      <c r="E53" s="24" t="s">
        <v>15</v>
      </c>
      <c r="F53" s="24" t="s">
        <v>54</v>
      </c>
      <c r="G53" s="24" t="s">
        <v>1347</v>
      </c>
      <c r="H53" s="24" t="s">
        <v>312</v>
      </c>
      <c r="I53" s="25"/>
      <c r="J53" s="26">
        <v>162.5</v>
      </c>
      <c r="K53" s="24">
        <f>"206,1289"</f>
        <v>0</v>
      </c>
      <c r="L53" s="24"/>
    </row>
    <row r="54" spans="1:12" ht="14.25">
      <c r="A54" s="20" t="s">
        <v>2688</v>
      </c>
      <c r="B54" s="20" t="s">
        <v>2689</v>
      </c>
      <c r="C54" s="20" t="s">
        <v>2690</v>
      </c>
      <c r="D54" s="20">
        <f>"1,2057"</f>
        <v>0</v>
      </c>
      <c r="E54" s="20" t="s">
        <v>15</v>
      </c>
      <c r="F54" s="20" t="s">
        <v>36</v>
      </c>
      <c r="G54" s="21" t="s">
        <v>54</v>
      </c>
      <c r="H54" s="20" t="s">
        <v>486</v>
      </c>
      <c r="I54" s="21"/>
      <c r="J54" s="22">
        <v>160</v>
      </c>
      <c r="K54" s="20">
        <f>"192,9115"</f>
        <v>0</v>
      </c>
      <c r="L54" s="20"/>
    </row>
    <row r="56" spans="1:11" ht="16.5">
      <c r="A56" s="23" t="s">
        <v>49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2" ht="14.25">
      <c r="A57" s="16" t="s">
        <v>2691</v>
      </c>
      <c r="B57" s="16" t="s">
        <v>2692</v>
      </c>
      <c r="C57" s="16" t="s">
        <v>1355</v>
      </c>
      <c r="D57" s="16">
        <f>"0,6567"</f>
        <v>0</v>
      </c>
      <c r="E57" s="16" t="s">
        <v>15</v>
      </c>
      <c r="F57" s="18" t="s">
        <v>92</v>
      </c>
      <c r="G57" s="16" t="s">
        <v>626</v>
      </c>
      <c r="H57" s="16" t="s">
        <v>652</v>
      </c>
      <c r="I57" s="16" t="s">
        <v>2693</v>
      </c>
      <c r="J57" s="19">
        <v>185</v>
      </c>
      <c r="K57" s="16">
        <f>"121,4895"</f>
        <v>0</v>
      </c>
      <c r="L57" s="16"/>
    </row>
    <row r="58" spans="1:12" ht="14.25">
      <c r="A58" s="24" t="s">
        <v>2694</v>
      </c>
      <c r="B58" s="24" t="s">
        <v>2695</v>
      </c>
      <c r="C58" s="24" t="s">
        <v>671</v>
      </c>
      <c r="D58" s="24">
        <f>"0,6487"</f>
        <v>0</v>
      </c>
      <c r="E58" s="24" t="s">
        <v>15</v>
      </c>
      <c r="F58" s="25" t="s">
        <v>78</v>
      </c>
      <c r="G58" s="25" t="s">
        <v>78</v>
      </c>
      <c r="H58" s="25" t="s">
        <v>78</v>
      </c>
      <c r="I58" s="25"/>
      <c r="J58" s="26">
        <v>0</v>
      </c>
      <c r="K58" s="24">
        <f>"0,0000"</f>
        <v>0</v>
      </c>
      <c r="L58" s="24"/>
    </row>
    <row r="59" spans="1:12" ht="14.25">
      <c r="A59" s="24" t="s">
        <v>2696</v>
      </c>
      <c r="B59" s="24" t="s">
        <v>2697</v>
      </c>
      <c r="C59" s="24" t="s">
        <v>2698</v>
      </c>
      <c r="D59" s="24">
        <f>"0,6676"</f>
        <v>0</v>
      </c>
      <c r="E59" s="24" t="s">
        <v>15</v>
      </c>
      <c r="F59" s="24" t="s">
        <v>93</v>
      </c>
      <c r="G59" s="24" t="s">
        <v>240</v>
      </c>
      <c r="H59" s="25" t="s">
        <v>212</v>
      </c>
      <c r="I59" s="25"/>
      <c r="J59" s="26">
        <v>185</v>
      </c>
      <c r="K59" s="24">
        <f>"123,5060"</f>
        <v>0</v>
      </c>
      <c r="L59" s="24"/>
    </row>
    <row r="60" spans="1:12" ht="14.25">
      <c r="A60" s="20" t="s">
        <v>2699</v>
      </c>
      <c r="B60" s="20" t="s">
        <v>2700</v>
      </c>
      <c r="C60" s="20" t="s">
        <v>2701</v>
      </c>
      <c r="D60" s="20">
        <f>"0,6670"</f>
        <v>0</v>
      </c>
      <c r="E60" s="20" t="s">
        <v>15</v>
      </c>
      <c r="F60" s="20" t="s">
        <v>87</v>
      </c>
      <c r="G60" s="20" t="s">
        <v>73</v>
      </c>
      <c r="H60" s="20" t="s">
        <v>792</v>
      </c>
      <c r="I60" s="21"/>
      <c r="J60" s="22">
        <v>207.5</v>
      </c>
      <c r="K60" s="20">
        <f>"138,4025"</f>
        <v>0</v>
      </c>
      <c r="L60" s="20"/>
    </row>
    <row r="62" spans="1:11" ht="16.5">
      <c r="A62" s="23" t="s">
        <v>63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2" ht="14.25">
      <c r="A63" s="16" t="s">
        <v>2702</v>
      </c>
      <c r="B63" s="16" t="s">
        <v>2703</v>
      </c>
      <c r="C63" s="16" t="s">
        <v>2611</v>
      </c>
      <c r="D63" s="16">
        <f>"0,6259"</f>
        <v>0</v>
      </c>
      <c r="E63" s="16" t="s">
        <v>211</v>
      </c>
      <c r="F63" s="16" t="s">
        <v>41</v>
      </c>
      <c r="G63" s="16" t="s">
        <v>42</v>
      </c>
      <c r="H63" s="18" t="s">
        <v>68</v>
      </c>
      <c r="I63" s="18"/>
      <c r="J63" s="19">
        <v>250</v>
      </c>
      <c r="K63" s="16">
        <f>"156,4875"</f>
        <v>0</v>
      </c>
      <c r="L63" s="16"/>
    </row>
    <row r="64" spans="1:12" ht="14.25">
      <c r="A64" s="24" t="s">
        <v>2704</v>
      </c>
      <c r="B64" s="24" t="s">
        <v>2705</v>
      </c>
      <c r="C64" s="24" t="s">
        <v>1052</v>
      </c>
      <c r="D64" s="24">
        <f>"0,6188"</f>
        <v>0</v>
      </c>
      <c r="E64" s="24" t="s">
        <v>15</v>
      </c>
      <c r="F64" s="24" t="s">
        <v>316</v>
      </c>
      <c r="G64" s="24" t="s">
        <v>337</v>
      </c>
      <c r="H64" s="25" t="s">
        <v>282</v>
      </c>
      <c r="I64" s="25"/>
      <c r="J64" s="26">
        <v>255</v>
      </c>
      <c r="K64" s="24">
        <f>"157,8067"</f>
        <v>0</v>
      </c>
      <c r="L64" s="24"/>
    </row>
    <row r="65" spans="1:12" ht="14.25">
      <c r="A65" s="24" t="s">
        <v>1050</v>
      </c>
      <c r="B65" s="24" t="s">
        <v>1051</v>
      </c>
      <c r="C65" s="24" t="s">
        <v>2706</v>
      </c>
      <c r="D65" s="24">
        <f>"0,6209"</f>
        <v>0</v>
      </c>
      <c r="E65" s="24" t="s">
        <v>15</v>
      </c>
      <c r="F65" s="24" t="s">
        <v>131</v>
      </c>
      <c r="G65" s="24" t="s">
        <v>74</v>
      </c>
      <c r="H65" s="24" t="s">
        <v>83</v>
      </c>
      <c r="I65" s="25"/>
      <c r="J65" s="26">
        <v>225</v>
      </c>
      <c r="K65" s="24">
        <f>"139,7025"</f>
        <v>0</v>
      </c>
      <c r="L65" s="24"/>
    </row>
    <row r="66" spans="1:12" ht="14.25">
      <c r="A66" s="24" t="s">
        <v>2707</v>
      </c>
      <c r="B66" s="24" t="s">
        <v>2708</v>
      </c>
      <c r="C66" s="24" t="s">
        <v>2709</v>
      </c>
      <c r="D66" s="24">
        <f>"0,6222"</f>
        <v>0</v>
      </c>
      <c r="E66" s="24" t="s">
        <v>15</v>
      </c>
      <c r="F66" s="24" t="s">
        <v>41</v>
      </c>
      <c r="G66" s="25" t="s">
        <v>429</v>
      </c>
      <c r="H66" s="25" t="s">
        <v>337</v>
      </c>
      <c r="I66" s="25"/>
      <c r="J66" s="26" t="s">
        <v>115</v>
      </c>
      <c r="K66" s="24" t="s">
        <v>2710</v>
      </c>
      <c r="L66" s="24"/>
    </row>
    <row r="67" spans="1:12" ht="14.25">
      <c r="A67" s="20" t="s">
        <v>2201</v>
      </c>
      <c r="B67" s="20" t="s">
        <v>2202</v>
      </c>
      <c r="C67" s="20" t="s">
        <v>1830</v>
      </c>
      <c r="D67" s="20">
        <f>"0,6966"</f>
        <v>0</v>
      </c>
      <c r="E67" s="20" t="s">
        <v>1859</v>
      </c>
      <c r="F67" s="20" t="s">
        <v>73</v>
      </c>
      <c r="G67" s="21" t="s">
        <v>74</v>
      </c>
      <c r="H67" s="21" t="s">
        <v>74</v>
      </c>
      <c r="I67" s="21"/>
      <c r="J67" s="22">
        <v>205</v>
      </c>
      <c r="K67" s="20">
        <f>"142,8006"</f>
        <v>0</v>
      </c>
      <c r="L67" s="20"/>
    </row>
    <row r="69" spans="1:11" ht="16.5">
      <c r="A69" s="23" t="s">
        <v>69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ht="14.25">
      <c r="A70" s="16" t="s">
        <v>2252</v>
      </c>
      <c r="B70" s="16" t="s">
        <v>2253</v>
      </c>
      <c r="C70" s="16" t="s">
        <v>1867</v>
      </c>
      <c r="D70" s="16">
        <f>"0,5929"</f>
        <v>0</v>
      </c>
      <c r="E70" s="16" t="s">
        <v>15</v>
      </c>
      <c r="F70" s="16" t="s">
        <v>486</v>
      </c>
      <c r="G70" s="16" t="s">
        <v>46</v>
      </c>
      <c r="H70" s="16" t="s">
        <v>47</v>
      </c>
      <c r="I70" s="18"/>
      <c r="J70" s="19">
        <v>180</v>
      </c>
      <c r="K70" s="16">
        <f>"106,7130"</f>
        <v>0</v>
      </c>
      <c r="L70" s="16"/>
    </row>
    <row r="71" spans="1:12" ht="14.25">
      <c r="A71" s="24" t="s">
        <v>2711</v>
      </c>
      <c r="B71" s="24" t="s">
        <v>2712</v>
      </c>
      <c r="C71" s="24" t="s">
        <v>1853</v>
      </c>
      <c r="D71" s="24">
        <f>"0,5843"</f>
        <v>0</v>
      </c>
      <c r="E71" s="24" t="s">
        <v>2713</v>
      </c>
      <c r="F71" s="24" t="s">
        <v>42</v>
      </c>
      <c r="G71" s="24" t="s">
        <v>68</v>
      </c>
      <c r="H71" s="25" t="s">
        <v>280</v>
      </c>
      <c r="I71" s="25"/>
      <c r="J71" s="26">
        <v>260</v>
      </c>
      <c r="K71" s="24">
        <f>"151,9180"</f>
        <v>0</v>
      </c>
      <c r="L71" s="24"/>
    </row>
    <row r="72" spans="1:12" ht="14.25">
      <c r="A72" s="24" t="s">
        <v>2714</v>
      </c>
      <c r="B72" s="24" t="s">
        <v>1061</v>
      </c>
      <c r="C72" s="24" t="s">
        <v>2715</v>
      </c>
      <c r="D72" s="24">
        <f>"0,6029"</f>
        <v>0</v>
      </c>
      <c r="E72" s="24" t="s">
        <v>15</v>
      </c>
      <c r="F72" s="24" t="s">
        <v>212</v>
      </c>
      <c r="G72" s="24" t="s">
        <v>798</v>
      </c>
      <c r="H72" s="25" t="s">
        <v>88</v>
      </c>
      <c r="I72" s="25"/>
      <c r="J72" s="26">
        <v>202.5</v>
      </c>
      <c r="K72" s="24">
        <f>"122,0974"</f>
        <v>0</v>
      </c>
      <c r="L72" s="24"/>
    </row>
    <row r="73" spans="1:12" ht="14.25">
      <c r="A73" s="24" t="s">
        <v>2716</v>
      </c>
      <c r="B73" s="24" t="s">
        <v>2717</v>
      </c>
      <c r="C73" s="24" t="s">
        <v>72</v>
      </c>
      <c r="D73" s="24">
        <f>"0,6330"</f>
        <v>0</v>
      </c>
      <c r="E73" s="24" t="s">
        <v>15</v>
      </c>
      <c r="F73" s="25" t="s">
        <v>88</v>
      </c>
      <c r="G73" s="24" t="s">
        <v>88</v>
      </c>
      <c r="H73" s="24" t="s">
        <v>74</v>
      </c>
      <c r="I73" s="25"/>
      <c r="J73" s="26">
        <v>215</v>
      </c>
      <c r="K73" s="24">
        <f>"136,1002"</f>
        <v>0</v>
      </c>
      <c r="L73" s="24"/>
    </row>
    <row r="74" spans="1:12" ht="14.25">
      <c r="A74" s="24" t="s">
        <v>2718</v>
      </c>
      <c r="B74" s="24" t="s">
        <v>769</v>
      </c>
      <c r="C74" s="24" t="s">
        <v>755</v>
      </c>
      <c r="D74" s="24">
        <f>"0,7578"</f>
        <v>0</v>
      </c>
      <c r="E74" s="24" t="s">
        <v>623</v>
      </c>
      <c r="F74" s="24" t="s">
        <v>219</v>
      </c>
      <c r="G74" s="24" t="s">
        <v>267</v>
      </c>
      <c r="H74" s="24" t="s">
        <v>2719</v>
      </c>
      <c r="I74" s="24" t="s">
        <v>2720</v>
      </c>
      <c r="J74" s="26">
        <v>240</v>
      </c>
      <c r="K74" s="24">
        <f>"181,8606"</f>
        <v>0</v>
      </c>
      <c r="L74" s="24"/>
    </row>
    <row r="75" spans="1:12" ht="14.25">
      <c r="A75" s="20" t="s">
        <v>1086</v>
      </c>
      <c r="B75" s="20" t="s">
        <v>1087</v>
      </c>
      <c r="C75" s="20" t="s">
        <v>770</v>
      </c>
      <c r="D75" s="20">
        <f>"0,8756"</f>
        <v>0</v>
      </c>
      <c r="E75" s="20" t="s">
        <v>15</v>
      </c>
      <c r="F75" s="20" t="s">
        <v>54</v>
      </c>
      <c r="G75" s="20" t="s">
        <v>87</v>
      </c>
      <c r="H75" s="21"/>
      <c r="I75" s="21"/>
      <c r="J75" s="22">
        <v>200</v>
      </c>
      <c r="K75" s="20">
        <f>"175,1284"</f>
        <v>0</v>
      </c>
      <c r="L75" s="20"/>
    </row>
    <row r="77" spans="1:11" ht="16.5">
      <c r="A77" s="23" t="s">
        <v>94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2" ht="14.25">
      <c r="A78" s="16" t="s">
        <v>2721</v>
      </c>
      <c r="B78" s="16" t="s">
        <v>2722</v>
      </c>
      <c r="C78" s="16" t="s">
        <v>308</v>
      </c>
      <c r="D78" s="16">
        <f>"0,5674"</f>
        <v>0</v>
      </c>
      <c r="E78" s="16" t="s">
        <v>15</v>
      </c>
      <c r="F78" s="16" t="s">
        <v>41</v>
      </c>
      <c r="G78" s="16" t="s">
        <v>42</v>
      </c>
      <c r="H78" s="18" t="s">
        <v>337</v>
      </c>
      <c r="I78" s="18"/>
      <c r="J78" s="19">
        <v>250</v>
      </c>
      <c r="K78" s="16">
        <f>"141,8625"</f>
        <v>0</v>
      </c>
      <c r="L78" s="16"/>
    </row>
    <row r="79" spans="1:12" ht="14.25">
      <c r="A79" s="24" t="s">
        <v>2723</v>
      </c>
      <c r="B79" s="24" t="s">
        <v>2724</v>
      </c>
      <c r="C79" s="24" t="s">
        <v>1474</v>
      </c>
      <c r="D79" s="24">
        <f>"0,5806"</f>
        <v>0</v>
      </c>
      <c r="E79" s="24" t="s">
        <v>15</v>
      </c>
      <c r="F79" s="25" t="s">
        <v>40</v>
      </c>
      <c r="G79" s="25"/>
      <c r="H79" s="25"/>
      <c r="I79" s="25"/>
      <c r="J79" s="26">
        <v>0</v>
      </c>
      <c r="K79" s="24">
        <f>"0,0000"</f>
        <v>0</v>
      </c>
      <c r="L79" s="24"/>
    </row>
    <row r="80" spans="1:12" ht="14.25">
      <c r="A80" s="20" t="s">
        <v>2210</v>
      </c>
      <c r="B80" s="20" t="s">
        <v>2211</v>
      </c>
      <c r="C80" s="20" t="s">
        <v>1652</v>
      </c>
      <c r="D80" s="20">
        <f>"0,7076"</f>
        <v>0</v>
      </c>
      <c r="E80" s="20" t="s">
        <v>15</v>
      </c>
      <c r="F80" s="21" t="s">
        <v>46</v>
      </c>
      <c r="G80" s="20" t="s">
        <v>47</v>
      </c>
      <c r="H80" s="20" t="s">
        <v>87</v>
      </c>
      <c r="I80" s="21"/>
      <c r="J80" s="22">
        <v>200</v>
      </c>
      <c r="K80" s="20">
        <f>"141,5120"</f>
        <v>0</v>
      </c>
      <c r="L80" s="20"/>
    </row>
    <row r="82" spans="1:11" ht="16.5">
      <c r="A82" s="23" t="s">
        <v>127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2" ht="14.25">
      <c r="A83" s="27" t="s">
        <v>2261</v>
      </c>
      <c r="B83" s="27" t="s">
        <v>2262</v>
      </c>
      <c r="C83" s="27" t="s">
        <v>2263</v>
      </c>
      <c r="D83" s="27">
        <f>"0,5502"</f>
        <v>0</v>
      </c>
      <c r="E83" s="27" t="s">
        <v>15</v>
      </c>
      <c r="F83" s="27" t="s">
        <v>74</v>
      </c>
      <c r="G83" s="28" t="s">
        <v>316</v>
      </c>
      <c r="H83" s="28" t="s">
        <v>316</v>
      </c>
      <c r="I83" s="28"/>
      <c r="J83" s="29" t="s">
        <v>2725</v>
      </c>
      <c r="K83" s="27" t="s">
        <v>2726</v>
      </c>
      <c r="L83" s="27"/>
    </row>
    <row r="85" ht="16.5">
      <c r="E85" s="30" t="s">
        <v>144</v>
      </c>
    </row>
    <row r="86" ht="16.5">
      <c r="E86" s="30" t="s">
        <v>145</v>
      </c>
    </row>
    <row r="87" ht="16.5">
      <c r="E87" s="30" t="s">
        <v>146</v>
      </c>
    </row>
    <row r="88" ht="14.25">
      <c r="E88" s="1" t="s">
        <v>147</v>
      </c>
    </row>
    <row r="89" ht="14.25">
      <c r="E89" s="1" t="s">
        <v>148</v>
      </c>
    </row>
    <row r="90" ht="14.25">
      <c r="E90" s="1" t="s">
        <v>149</v>
      </c>
    </row>
    <row r="93" spans="1:2" ht="18.75">
      <c r="A93" s="31" t="s">
        <v>150</v>
      </c>
      <c r="B93" s="31"/>
    </row>
    <row r="94" spans="1:2" ht="16.5">
      <c r="A94" s="32" t="s">
        <v>151</v>
      </c>
      <c r="B94" s="32"/>
    </row>
    <row r="95" spans="1:2" ht="15.75">
      <c r="A95" s="33" t="s">
        <v>165</v>
      </c>
      <c r="B95" s="34"/>
    </row>
    <row r="96" spans="1:5" ht="15.75">
      <c r="A96" s="35" t="s">
        <v>1</v>
      </c>
      <c r="B96" s="35" t="s">
        <v>153</v>
      </c>
      <c r="C96" s="35" t="s">
        <v>154</v>
      </c>
      <c r="D96" s="35" t="s">
        <v>7</v>
      </c>
      <c r="E96" s="35" t="s">
        <v>155</v>
      </c>
    </row>
    <row r="97" spans="1:5" ht="14.25">
      <c r="A97" s="36" t="s">
        <v>2634</v>
      </c>
      <c r="B97" s="1" t="s">
        <v>166</v>
      </c>
      <c r="C97" s="1" t="s">
        <v>944</v>
      </c>
      <c r="D97" s="1" t="s">
        <v>217</v>
      </c>
      <c r="E97" s="37" t="s">
        <v>2727</v>
      </c>
    </row>
    <row r="98" spans="1:5" ht="14.25">
      <c r="A98" s="36" t="s">
        <v>2663</v>
      </c>
      <c r="B98" s="1" t="s">
        <v>166</v>
      </c>
      <c r="C98" s="1" t="s">
        <v>156</v>
      </c>
      <c r="D98" s="1" t="s">
        <v>29</v>
      </c>
      <c r="E98" s="37" t="s">
        <v>2728</v>
      </c>
    </row>
    <row r="100" spans="1:2" ht="15.75">
      <c r="A100" s="33" t="s">
        <v>152</v>
      </c>
      <c r="B100" s="34"/>
    </row>
    <row r="101" spans="1:5" ht="15.75">
      <c r="A101" s="35" t="s">
        <v>1</v>
      </c>
      <c r="B101" s="35" t="s">
        <v>153</v>
      </c>
      <c r="C101" s="35" t="s">
        <v>154</v>
      </c>
      <c r="D101" s="35" t="s">
        <v>7</v>
      </c>
      <c r="E101" s="35" t="s">
        <v>155</v>
      </c>
    </row>
    <row r="102" spans="1:5" ht="14.25">
      <c r="A102" s="36" t="s">
        <v>2625</v>
      </c>
      <c r="B102" s="1" t="s">
        <v>152</v>
      </c>
      <c r="C102" s="1" t="s">
        <v>2729</v>
      </c>
      <c r="D102" s="1" t="s">
        <v>774</v>
      </c>
      <c r="E102" s="37" t="s">
        <v>2730</v>
      </c>
    </row>
    <row r="103" spans="1:5" ht="14.25">
      <c r="A103" s="36" t="s">
        <v>2628</v>
      </c>
      <c r="B103" s="1" t="s">
        <v>152</v>
      </c>
      <c r="C103" s="1" t="s">
        <v>2729</v>
      </c>
      <c r="D103" s="1" t="s">
        <v>62</v>
      </c>
      <c r="E103" s="37" t="s">
        <v>2731</v>
      </c>
    </row>
    <row r="104" spans="1:5" ht="14.25">
      <c r="A104" s="36" t="s">
        <v>2636</v>
      </c>
      <c r="B104" s="1" t="s">
        <v>152</v>
      </c>
      <c r="C104" s="1" t="s">
        <v>944</v>
      </c>
      <c r="D104" s="1" t="s">
        <v>36</v>
      </c>
      <c r="E104" s="37" t="s">
        <v>2732</v>
      </c>
    </row>
    <row r="105" spans="1:5" ht="14.25">
      <c r="A105" s="36" t="s">
        <v>2639</v>
      </c>
      <c r="B105" s="1" t="s">
        <v>152</v>
      </c>
      <c r="C105" s="1" t="s">
        <v>944</v>
      </c>
      <c r="D105" s="1" t="s">
        <v>30</v>
      </c>
      <c r="E105" s="37" t="s">
        <v>2733</v>
      </c>
    </row>
    <row r="106" spans="1:5" ht="14.25">
      <c r="A106" s="36" t="s">
        <v>2655</v>
      </c>
      <c r="B106" s="1" t="s">
        <v>152</v>
      </c>
      <c r="C106" s="1" t="s">
        <v>158</v>
      </c>
      <c r="D106" s="1" t="s">
        <v>672</v>
      </c>
      <c r="E106" s="37" t="s">
        <v>2734</v>
      </c>
    </row>
    <row r="107" spans="1:5" ht="14.25">
      <c r="A107" s="36" t="s">
        <v>2631</v>
      </c>
      <c r="B107" s="1" t="s">
        <v>152</v>
      </c>
      <c r="C107" s="1" t="s">
        <v>379</v>
      </c>
      <c r="D107" s="1" t="s">
        <v>29</v>
      </c>
      <c r="E107" s="37" t="s">
        <v>2735</v>
      </c>
    </row>
    <row r="108" spans="1:5" ht="14.25">
      <c r="A108" s="36" t="s">
        <v>2642</v>
      </c>
      <c r="B108" s="1" t="s">
        <v>152</v>
      </c>
      <c r="C108" s="1" t="s">
        <v>944</v>
      </c>
      <c r="D108" s="1" t="s">
        <v>1356</v>
      </c>
      <c r="E108" s="37" t="s">
        <v>2736</v>
      </c>
    </row>
    <row r="109" spans="1:5" ht="14.25">
      <c r="A109" s="36" t="s">
        <v>2645</v>
      </c>
      <c r="B109" s="1" t="s">
        <v>152</v>
      </c>
      <c r="C109" s="1" t="s">
        <v>944</v>
      </c>
      <c r="D109" s="1" t="s">
        <v>18</v>
      </c>
      <c r="E109" s="37" t="s">
        <v>2737</v>
      </c>
    </row>
    <row r="110" spans="1:5" ht="14.25">
      <c r="A110" s="36" t="s">
        <v>2665</v>
      </c>
      <c r="B110" s="1" t="s">
        <v>152</v>
      </c>
      <c r="C110" s="1" t="s">
        <v>156</v>
      </c>
      <c r="D110" s="1" t="s">
        <v>62</v>
      </c>
      <c r="E110" s="37" t="s">
        <v>2738</v>
      </c>
    </row>
    <row r="111" spans="1:5" ht="14.25">
      <c r="A111" s="36" t="s">
        <v>2667</v>
      </c>
      <c r="B111" s="1" t="s">
        <v>152</v>
      </c>
      <c r="C111" s="1" t="s">
        <v>181</v>
      </c>
      <c r="D111" s="1" t="s">
        <v>36</v>
      </c>
      <c r="E111" s="37" t="s">
        <v>2739</v>
      </c>
    </row>
    <row r="113" spans="1:2" ht="15.75">
      <c r="A113" s="33" t="s">
        <v>160</v>
      </c>
      <c r="B113" s="34"/>
    </row>
    <row r="114" spans="1:5" ht="15.75">
      <c r="A114" s="35" t="s">
        <v>1</v>
      </c>
      <c r="B114" s="35" t="s">
        <v>153</v>
      </c>
      <c r="C114" s="35" t="s">
        <v>154</v>
      </c>
      <c r="D114" s="35" t="s">
        <v>7</v>
      </c>
      <c r="E114" s="35" t="s">
        <v>155</v>
      </c>
    </row>
    <row r="115" spans="1:5" ht="14.25">
      <c r="A115" s="36" t="s">
        <v>2660</v>
      </c>
      <c r="B115" s="1" t="s">
        <v>188</v>
      </c>
      <c r="C115" s="1" t="s">
        <v>158</v>
      </c>
      <c r="D115" s="1" t="s">
        <v>678</v>
      </c>
      <c r="E115" s="37" t="s">
        <v>2740</v>
      </c>
    </row>
    <row r="116" spans="1:5" ht="14.25">
      <c r="A116" s="36" t="s">
        <v>2622</v>
      </c>
      <c r="B116" s="1" t="s">
        <v>161</v>
      </c>
      <c r="C116" s="1" t="s">
        <v>2531</v>
      </c>
      <c r="D116" s="1" t="s">
        <v>16</v>
      </c>
      <c r="E116" s="37" t="s">
        <v>2741</v>
      </c>
    </row>
    <row r="117" spans="1:5" ht="14.25">
      <c r="A117" s="36" t="s">
        <v>2655</v>
      </c>
      <c r="B117" s="1" t="s">
        <v>188</v>
      </c>
      <c r="C117" s="1" t="s">
        <v>158</v>
      </c>
      <c r="D117" s="1" t="s">
        <v>672</v>
      </c>
      <c r="E117" s="37" t="s">
        <v>2742</v>
      </c>
    </row>
    <row r="118" spans="1:5" ht="14.25">
      <c r="A118" s="36" t="s">
        <v>2657</v>
      </c>
      <c r="B118" s="1" t="s">
        <v>399</v>
      </c>
      <c r="C118" s="1" t="s">
        <v>158</v>
      </c>
      <c r="D118" s="1" t="s">
        <v>35</v>
      </c>
      <c r="E118" s="37" t="s">
        <v>2743</v>
      </c>
    </row>
    <row r="121" spans="1:2" ht="16.5">
      <c r="A121" s="32" t="s">
        <v>164</v>
      </c>
      <c r="B121" s="32"/>
    </row>
    <row r="122" spans="1:2" ht="15.75">
      <c r="A122" s="33" t="s">
        <v>375</v>
      </c>
      <c r="B122" s="34"/>
    </row>
    <row r="123" spans="1:5" ht="15.75">
      <c r="A123" s="35" t="s">
        <v>1</v>
      </c>
      <c r="B123" s="35" t="s">
        <v>153</v>
      </c>
      <c r="C123" s="35" t="s">
        <v>154</v>
      </c>
      <c r="D123" s="35" t="s">
        <v>7</v>
      </c>
      <c r="E123" s="35" t="s">
        <v>155</v>
      </c>
    </row>
    <row r="124" spans="1:5" ht="14.25">
      <c r="A124" s="36" t="s">
        <v>2696</v>
      </c>
      <c r="B124" s="1" t="s">
        <v>376</v>
      </c>
      <c r="C124" s="1" t="s">
        <v>171</v>
      </c>
      <c r="D124" s="1" t="s">
        <v>240</v>
      </c>
      <c r="E124" s="37" t="s">
        <v>2744</v>
      </c>
    </row>
    <row r="125" spans="1:5" ht="14.25">
      <c r="A125" s="36" t="s">
        <v>2691</v>
      </c>
      <c r="B125" s="1" t="s">
        <v>921</v>
      </c>
      <c r="C125" s="1" t="s">
        <v>171</v>
      </c>
      <c r="D125" s="1" t="s">
        <v>240</v>
      </c>
      <c r="E125" s="37" t="s">
        <v>2745</v>
      </c>
    </row>
    <row r="127" spans="1:2" ht="15.75">
      <c r="A127" s="33" t="s">
        <v>165</v>
      </c>
      <c r="B127" s="34"/>
    </row>
    <row r="128" spans="1:5" ht="15.75">
      <c r="A128" s="35" t="s">
        <v>1</v>
      </c>
      <c r="B128" s="35" t="s">
        <v>153</v>
      </c>
      <c r="C128" s="35" t="s">
        <v>154</v>
      </c>
      <c r="D128" s="35" t="s">
        <v>7</v>
      </c>
      <c r="E128" s="35" t="s">
        <v>155</v>
      </c>
    </row>
    <row r="129" spans="1:5" ht="14.25">
      <c r="A129" s="36" t="s">
        <v>2677</v>
      </c>
      <c r="B129" s="1" t="s">
        <v>166</v>
      </c>
      <c r="C129" s="1" t="s">
        <v>156</v>
      </c>
      <c r="D129" s="1" t="s">
        <v>41</v>
      </c>
      <c r="E129" s="37" t="s">
        <v>2746</v>
      </c>
    </row>
    <row r="130" spans="1:5" ht="14.25">
      <c r="A130" s="36" t="s">
        <v>2702</v>
      </c>
      <c r="B130" s="1" t="s">
        <v>166</v>
      </c>
      <c r="C130" s="1" t="s">
        <v>181</v>
      </c>
      <c r="D130" s="1" t="s">
        <v>42</v>
      </c>
      <c r="E130" s="37" t="s">
        <v>2747</v>
      </c>
    </row>
    <row r="131" spans="1:5" ht="14.25">
      <c r="A131" s="36" t="s">
        <v>2670</v>
      </c>
      <c r="B131" s="1" t="s">
        <v>166</v>
      </c>
      <c r="C131" s="1" t="s">
        <v>158</v>
      </c>
      <c r="D131" s="1" t="s">
        <v>131</v>
      </c>
      <c r="E131" s="37" t="s">
        <v>2748</v>
      </c>
    </row>
    <row r="132" spans="1:5" ht="14.25">
      <c r="A132" s="36" t="s">
        <v>2699</v>
      </c>
      <c r="B132" s="1" t="s">
        <v>166</v>
      </c>
      <c r="C132" s="1" t="s">
        <v>171</v>
      </c>
      <c r="D132" s="1" t="s">
        <v>792</v>
      </c>
      <c r="E132" s="37" t="s">
        <v>2749</v>
      </c>
    </row>
    <row r="133" spans="1:5" ht="14.25">
      <c r="A133" s="36" t="s">
        <v>2252</v>
      </c>
      <c r="B133" s="1" t="s">
        <v>166</v>
      </c>
      <c r="C133" s="1" t="s">
        <v>167</v>
      </c>
      <c r="D133" s="1" t="s">
        <v>47</v>
      </c>
      <c r="E133" s="37" t="s">
        <v>2750</v>
      </c>
    </row>
    <row r="135" spans="1:2" ht="15.75">
      <c r="A135" s="33" t="s">
        <v>152</v>
      </c>
      <c r="B135" s="34"/>
    </row>
    <row r="136" spans="1:5" ht="15.75">
      <c r="A136" s="35" t="s">
        <v>1</v>
      </c>
      <c r="B136" s="35" t="s">
        <v>153</v>
      </c>
      <c r="C136" s="35" t="s">
        <v>154</v>
      </c>
      <c r="D136" s="35" t="s">
        <v>7</v>
      </c>
      <c r="E136" s="35" t="s">
        <v>155</v>
      </c>
    </row>
    <row r="137" spans="1:5" ht="14.25">
      <c r="A137" s="36" t="s">
        <v>2704</v>
      </c>
      <c r="B137" s="1" t="s">
        <v>152</v>
      </c>
      <c r="C137" s="1" t="s">
        <v>181</v>
      </c>
      <c r="D137" s="1" t="s">
        <v>337</v>
      </c>
      <c r="E137" s="37" t="s">
        <v>2751</v>
      </c>
    </row>
    <row r="138" spans="1:5" ht="14.25">
      <c r="A138" s="36" t="s">
        <v>2711</v>
      </c>
      <c r="B138" s="1" t="s">
        <v>152</v>
      </c>
      <c r="C138" s="1" t="s">
        <v>167</v>
      </c>
      <c r="D138" s="1" t="s">
        <v>68</v>
      </c>
      <c r="E138" s="37" t="s">
        <v>2752</v>
      </c>
    </row>
    <row r="139" spans="1:5" ht="14.25">
      <c r="A139" s="36" t="s">
        <v>2721</v>
      </c>
      <c r="B139" s="1" t="s">
        <v>152</v>
      </c>
      <c r="C139" s="1" t="s">
        <v>173</v>
      </c>
      <c r="D139" s="1" t="s">
        <v>42</v>
      </c>
      <c r="E139" s="37" t="s">
        <v>2753</v>
      </c>
    </row>
    <row r="140" spans="1:5" ht="14.25">
      <c r="A140" s="36" t="s">
        <v>1050</v>
      </c>
      <c r="B140" s="1" t="s">
        <v>152</v>
      </c>
      <c r="C140" s="1" t="s">
        <v>181</v>
      </c>
      <c r="D140" s="1" t="s">
        <v>83</v>
      </c>
      <c r="E140" s="37" t="s">
        <v>2754</v>
      </c>
    </row>
    <row r="141" spans="1:5" ht="14.25">
      <c r="A141" s="36" t="s">
        <v>2714</v>
      </c>
      <c r="B141" s="1" t="s">
        <v>152</v>
      </c>
      <c r="C141" s="1" t="s">
        <v>167</v>
      </c>
      <c r="D141" s="1" t="s">
        <v>798</v>
      </c>
      <c r="E141" s="37" t="s">
        <v>2755</v>
      </c>
    </row>
    <row r="143" spans="1:2" ht="15.75">
      <c r="A143" s="33" t="s">
        <v>160</v>
      </c>
      <c r="B143" s="34"/>
    </row>
    <row r="144" spans="1:5" ht="15.75">
      <c r="A144" s="35" t="s">
        <v>1</v>
      </c>
      <c r="B144" s="35" t="s">
        <v>153</v>
      </c>
      <c r="C144" s="35" t="s">
        <v>154</v>
      </c>
      <c r="D144" s="35" t="s">
        <v>7</v>
      </c>
      <c r="E144" s="35" t="s">
        <v>155</v>
      </c>
    </row>
    <row r="145" spans="1:5" ht="14.25">
      <c r="A145" s="36" t="s">
        <v>1028</v>
      </c>
      <c r="B145" s="1" t="s">
        <v>909</v>
      </c>
      <c r="C145" s="1" t="s">
        <v>156</v>
      </c>
      <c r="D145" s="1" t="s">
        <v>312</v>
      </c>
      <c r="E145" s="37" t="s">
        <v>2756</v>
      </c>
    </row>
    <row r="146" spans="1:5" ht="14.25">
      <c r="A146" s="36" t="s">
        <v>2688</v>
      </c>
      <c r="B146" s="1" t="s">
        <v>909</v>
      </c>
      <c r="C146" s="1" t="s">
        <v>156</v>
      </c>
      <c r="D146" s="1" t="s">
        <v>486</v>
      </c>
      <c r="E146" s="37" t="s">
        <v>2757</v>
      </c>
    </row>
    <row r="147" spans="1:5" ht="14.25">
      <c r="A147" s="36" t="s">
        <v>2718</v>
      </c>
      <c r="B147" s="1" t="s">
        <v>190</v>
      </c>
      <c r="C147" s="1" t="s">
        <v>167</v>
      </c>
      <c r="D147" s="1" t="s">
        <v>41</v>
      </c>
      <c r="E147" s="37" t="s">
        <v>2758</v>
      </c>
    </row>
    <row r="148" spans="1:5" ht="14.25">
      <c r="A148" s="36" t="s">
        <v>1086</v>
      </c>
      <c r="B148" s="1" t="s">
        <v>186</v>
      </c>
      <c r="C148" s="1" t="s">
        <v>167</v>
      </c>
      <c r="D148" s="1" t="s">
        <v>87</v>
      </c>
      <c r="E148" s="37" t="s">
        <v>2759</v>
      </c>
    </row>
    <row r="149" spans="1:5" ht="14.25">
      <c r="A149" s="36" t="s">
        <v>2682</v>
      </c>
      <c r="B149" s="1" t="s">
        <v>399</v>
      </c>
      <c r="C149" s="1" t="s">
        <v>156</v>
      </c>
      <c r="D149" s="1" t="s">
        <v>83</v>
      </c>
      <c r="E149" s="37" t="s">
        <v>2760</v>
      </c>
    </row>
    <row r="150" spans="1:5" ht="14.25">
      <c r="A150" s="36" t="s">
        <v>2686</v>
      </c>
      <c r="B150" s="1" t="s">
        <v>190</v>
      </c>
      <c r="C150" s="1" t="s">
        <v>156</v>
      </c>
      <c r="D150" s="1" t="s">
        <v>240</v>
      </c>
      <c r="E150" s="37" t="s">
        <v>2761</v>
      </c>
    </row>
    <row r="151" spans="1:5" ht="14.25">
      <c r="A151" s="36" t="s">
        <v>2201</v>
      </c>
      <c r="B151" s="1" t="s">
        <v>161</v>
      </c>
      <c r="C151" s="1" t="s">
        <v>181</v>
      </c>
      <c r="D151" s="1" t="s">
        <v>73</v>
      </c>
      <c r="E151" s="37" t="s">
        <v>2762</v>
      </c>
    </row>
    <row r="152" spans="1:5" ht="14.25">
      <c r="A152" s="36" t="s">
        <v>2684</v>
      </c>
      <c r="B152" s="1" t="s">
        <v>161</v>
      </c>
      <c r="C152" s="1" t="s">
        <v>156</v>
      </c>
      <c r="D152" s="1" t="s">
        <v>47</v>
      </c>
      <c r="E152" s="37" t="s">
        <v>2763</v>
      </c>
    </row>
    <row r="153" spans="1:5" ht="14.25">
      <c r="A153" s="36" t="s">
        <v>2210</v>
      </c>
      <c r="B153" s="1" t="s">
        <v>190</v>
      </c>
      <c r="C153" s="1" t="s">
        <v>173</v>
      </c>
      <c r="D153" s="1" t="s">
        <v>87</v>
      </c>
      <c r="E153" s="37" t="s">
        <v>2764</v>
      </c>
    </row>
    <row r="154" spans="1:5" ht="14.25">
      <c r="A154" s="36" t="s">
        <v>2368</v>
      </c>
      <c r="B154" s="1" t="s">
        <v>188</v>
      </c>
      <c r="C154" s="1" t="s">
        <v>156</v>
      </c>
      <c r="D154" s="1" t="s">
        <v>240</v>
      </c>
      <c r="E154" s="37" t="s">
        <v>2765</v>
      </c>
    </row>
    <row r="155" spans="1:5" ht="14.25">
      <c r="A155" s="36" t="s">
        <v>2716</v>
      </c>
      <c r="B155" s="1" t="s">
        <v>188</v>
      </c>
      <c r="C155" s="1" t="s">
        <v>167</v>
      </c>
      <c r="D155" s="1" t="s">
        <v>74</v>
      </c>
      <c r="E155" s="37" t="s">
        <v>2766</v>
      </c>
    </row>
  </sheetData>
  <sheetProtection selectLockedCells="1" selectUnlockedCells="1"/>
  <mergeCells count="26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8:K8"/>
    <mergeCell ref="A12:K12"/>
    <mergeCell ref="A15:K15"/>
    <mergeCell ref="A22:K22"/>
    <mergeCell ref="A26:K26"/>
    <mergeCell ref="A32:K32"/>
    <mergeCell ref="A36:K36"/>
    <mergeCell ref="A39:K39"/>
    <mergeCell ref="A42:K42"/>
    <mergeCell ref="A46:K46"/>
    <mergeCell ref="A56:K56"/>
    <mergeCell ref="A62:K62"/>
    <mergeCell ref="A69:K69"/>
    <mergeCell ref="A77:K77"/>
    <mergeCell ref="A82:K8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R1" sqref="R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12" width="5.50390625" style="1" customWidth="1"/>
    <col min="13" max="13" width="4.50390625" style="1" customWidth="1"/>
    <col min="14" max="16" width="5.50390625" style="1" customWidth="1"/>
    <col min="17" max="17" width="4.50390625" style="1" customWidth="1"/>
    <col min="18" max="18" width="6.375" style="37" customWidth="1"/>
    <col min="19" max="19" width="8.50390625" style="1" customWidth="1"/>
    <col min="20" max="20" width="7.125" style="1" customWidth="1"/>
  </cols>
  <sheetData>
    <row r="1" spans="1:20" s="4" customFormat="1" ht="15" customHeight="1">
      <c r="A1" s="3" t="s">
        <v>2767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5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1" customFormat="1" ht="15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1337</v>
      </c>
      <c r="G3" s="8"/>
      <c r="H3" s="8"/>
      <c r="I3" s="8"/>
      <c r="J3" s="8" t="s">
        <v>6</v>
      </c>
      <c r="K3" s="8"/>
      <c r="L3" s="8"/>
      <c r="M3" s="8"/>
      <c r="N3" s="8" t="s">
        <v>993</v>
      </c>
      <c r="O3" s="8"/>
      <c r="P3" s="8"/>
      <c r="Q3" s="8"/>
      <c r="R3" s="40" t="s">
        <v>7</v>
      </c>
      <c r="S3" s="7" t="s">
        <v>8</v>
      </c>
      <c r="T3" s="10" t="s">
        <v>9</v>
      </c>
    </row>
    <row r="4" spans="1:20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12">
        <v>1</v>
      </c>
      <c r="K4" s="13">
        <v>2</v>
      </c>
      <c r="L4" s="13">
        <v>3</v>
      </c>
      <c r="M4" s="14" t="s">
        <v>10</v>
      </c>
      <c r="N4" s="12">
        <v>1</v>
      </c>
      <c r="O4" s="13">
        <v>2</v>
      </c>
      <c r="P4" s="13">
        <v>3</v>
      </c>
      <c r="Q4" s="14" t="s">
        <v>10</v>
      </c>
      <c r="R4" s="40"/>
      <c r="S4" s="7"/>
      <c r="T4" s="10"/>
    </row>
    <row r="5" spans="1:19" ht="16.5">
      <c r="A5" s="15" t="s">
        <v>2278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0" ht="14.25">
      <c r="A6" s="16" t="s">
        <v>2768</v>
      </c>
      <c r="B6" s="16" t="s">
        <v>2769</v>
      </c>
      <c r="C6" s="16" t="s">
        <v>2770</v>
      </c>
      <c r="D6" s="16">
        <f>"1,3305"</f>
        <v>0</v>
      </c>
      <c r="E6" s="16" t="s">
        <v>1156</v>
      </c>
      <c r="F6" s="16" t="s">
        <v>524</v>
      </c>
      <c r="G6" s="16" t="s">
        <v>691</v>
      </c>
      <c r="H6" s="18" t="s">
        <v>510</v>
      </c>
      <c r="I6" s="18"/>
      <c r="J6" s="16" t="s">
        <v>2030</v>
      </c>
      <c r="K6" s="18" t="s">
        <v>2008</v>
      </c>
      <c r="L6" s="16" t="s">
        <v>2008</v>
      </c>
      <c r="M6" s="18" t="s">
        <v>349</v>
      </c>
      <c r="N6" s="16" t="s">
        <v>463</v>
      </c>
      <c r="O6" s="16" t="s">
        <v>1566</v>
      </c>
      <c r="P6" s="16" t="s">
        <v>547</v>
      </c>
      <c r="Q6" s="18"/>
      <c r="R6" s="42">
        <v>162.5</v>
      </c>
      <c r="S6" s="16">
        <f>"216,2063"</f>
        <v>0</v>
      </c>
      <c r="T6" s="16"/>
    </row>
    <row r="7" spans="1:20" ht="14.25">
      <c r="A7" s="24" t="s">
        <v>2768</v>
      </c>
      <c r="B7" s="24" t="s">
        <v>2424</v>
      </c>
      <c r="C7" s="24" t="s">
        <v>2770</v>
      </c>
      <c r="D7" s="24">
        <f>"1,3438"</f>
        <v>0</v>
      </c>
      <c r="E7" s="24" t="s">
        <v>1156</v>
      </c>
      <c r="F7" s="24" t="s">
        <v>524</v>
      </c>
      <c r="G7" s="24" t="s">
        <v>691</v>
      </c>
      <c r="H7" s="25" t="s">
        <v>510</v>
      </c>
      <c r="I7" s="25"/>
      <c r="J7" s="24" t="s">
        <v>2030</v>
      </c>
      <c r="K7" s="25" t="s">
        <v>2008</v>
      </c>
      <c r="L7" s="24" t="s">
        <v>2008</v>
      </c>
      <c r="M7" s="25" t="s">
        <v>349</v>
      </c>
      <c r="N7" s="24" t="s">
        <v>463</v>
      </c>
      <c r="O7" s="24" t="s">
        <v>1566</v>
      </c>
      <c r="P7" s="24" t="s">
        <v>547</v>
      </c>
      <c r="Q7" s="25"/>
      <c r="R7" s="43">
        <v>162.5</v>
      </c>
      <c r="S7" s="24">
        <f>"218,3683"</f>
        <v>0</v>
      </c>
      <c r="T7" s="24"/>
    </row>
    <row r="8" spans="1:20" ht="14.25">
      <c r="A8" s="20" t="s">
        <v>2622</v>
      </c>
      <c r="B8" s="20" t="s">
        <v>2623</v>
      </c>
      <c r="C8" s="20" t="s">
        <v>2771</v>
      </c>
      <c r="D8" s="20">
        <f>"1,4935"</f>
        <v>0</v>
      </c>
      <c r="E8" s="20" t="s">
        <v>536</v>
      </c>
      <c r="F8" s="20" t="s">
        <v>524</v>
      </c>
      <c r="G8" s="20" t="s">
        <v>540</v>
      </c>
      <c r="H8" s="20" t="s">
        <v>527</v>
      </c>
      <c r="I8" s="20" t="s">
        <v>328</v>
      </c>
      <c r="J8" s="20" t="s">
        <v>580</v>
      </c>
      <c r="K8" s="21" t="s">
        <v>581</v>
      </c>
      <c r="L8" s="20" t="s">
        <v>581</v>
      </c>
      <c r="M8" s="21"/>
      <c r="N8" s="20" t="s">
        <v>22</v>
      </c>
      <c r="O8" s="20" t="s">
        <v>516</v>
      </c>
      <c r="P8" s="20" t="s">
        <v>17</v>
      </c>
      <c r="Q8" s="21"/>
      <c r="R8" s="44">
        <v>230</v>
      </c>
      <c r="S8" s="20">
        <f>"343,5098"</f>
        <v>0</v>
      </c>
      <c r="T8" s="20"/>
    </row>
    <row r="10" spans="1:19" ht="16.5">
      <c r="A10" s="23" t="s">
        <v>202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20" ht="14.25">
      <c r="A11" s="27" t="s">
        <v>2772</v>
      </c>
      <c r="B11" s="27" t="s">
        <v>2773</v>
      </c>
      <c r="C11" s="27" t="s">
        <v>2654</v>
      </c>
      <c r="D11" s="27">
        <f>"1,0024"</f>
        <v>0</v>
      </c>
      <c r="E11" s="27" t="s">
        <v>562</v>
      </c>
      <c r="F11" s="27" t="s">
        <v>17</v>
      </c>
      <c r="G11" s="27" t="s">
        <v>555</v>
      </c>
      <c r="H11" s="27" t="s">
        <v>1226</v>
      </c>
      <c r="I11" s="27" t="s">
        <v>62</v>
      </c>
      <c r="J11" s="27" t="s">
        <v>524</v>
      </c>
      <c r="K11" s="27" t="s">
        <v>1566</v>
      </c>
      <c r="L11" s="28" t="s">
        <v>691</v>
      </c>
      <c r="M11" s="28"/>
      <c r="N11" s="27" t="s">
        <v>555</v>
      </c>
      <c r="O11" s="27" t="s">
        <v>35</v>
      </c>
      <c r="P11" s="27" t="s">
        <v>30</v>
      </c>
      <c r="Q11" s="28"/>
      <c r="R11" s="41">
        <v>320</v>
      </c>
      <c r="S11" s="27">
        <f>"320,7680"</f>
        <v>0</v>
      </c>
      <c r="T11" s="27"/>
    </row>
    <row r="13" spans="1:19" ht="16.5">
      <c r="A13" s="23" t="s">
        <v>49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20" ht="14.25">
      <c r="A14" s="27" t="s">
        <v>2774</v>
      </c>
      <c r="B14" s="27" t="s">
        <v>2775</v>
      </c>
      <c r="C14" s="27" t="s">
        <v>210</v>
      </c>
      <c r="D14" s="27">
        <f>"0,7955"</f>
        <v>0</v>
      </c>
      <c r="E14" s="27" t="s">
        <v>211</v>
      </c>
      <c r="F14" s="27" t="s">
        <v>35</v>
      </c>
      <c r="G14" s="27" t="s">
        <v>206</v>
      </c>
      <c r="H14" s="27" t="s">
        <v>36</v>
      </c>
      <c r="I14" s="28"/>
      <c r="J14" s="27" t="s">
        <v>524</v>
      </c>
      <c r="K14" s="28" t="s">
        <v>1566</v>
      </c>
      <c r="L14" s="27" t="s">
        <v>1566</v>
      </c>
      <c r="M14" s="28"/>
      <c r="N14" s="27" t="s">
        <v>29</v>
      </c>
      <c r="O14" s="27" t="s">
        <v>30</v>
      </c>
      <c r="P14" s="28" t="s">
        <v>36</v>
      </c>
      <c r="Q14" s="28"/>
      <c r="R14" s="41">
        <v>332.5</v>
      </c>
      <c r="S14" s="27">
        <f>"264,5204"</f>
        <v>0</v>
      </c>
      <c r="T14" s="27"/>
    </row>
    <row r="16" spans="1:19" ht="16.5">
      <c r="A16" s="23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20" ht="14.25">
      <c r="A17" s="27" t="s">
        <v>2776</v>
      </c>
      <c r="B17" s="27" t="s">
        <v>2777</v>
      </c>
      <c r="C17" s="27" t="s">
        <v>1006</v>
      </c>
      <c r="D17" s="27">
        <f>"1,0914"</f>
        <v>0</v>
      </c>
      <c r="E17" s="27" t="s">
        <v>15</v>
      </c>
      <c r="F17" s="27" t="s">
        <v>16</v>
      </c>
      <c r="G17" s="27" t="s">
        <v>2778</v>
      </c>
      <c r="H17" s="28"/>
      <c r="I17" s="28"/>
      <c r="J17" s="27" t="s">
        <v>328</v>
      </c>
      <c r="K17" s="27" t="s">
        <v>2779</v>
      </c>
      <c r="L17" s="28"/>
      <c r="M17" s="28"/>
      <c r="N17" s="27" t="s">
        <v>17</v>
      </c>
      <c r="O17" s="27" t="s">
        <v>2780</v>
      </c>
      <c r="P17" s="28"/>
      <c r="Q17" s="28"/>
      <c r="R17" s="41">
        <v>310</v>
      </c>
      <c r="S17" s="27">
        <f>"338,3337"</f>
        <v>0</v>
      </c>
      <c r="T17" s="27"/>
    </row>
    <row r="19" spans="1:19" ht="16.5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20" ht="14.25">
      <c r="A20" s="27" t="s">
        <v>2781</v>
      </c>
      <c r="B20" s="27" t="s">
        <v>2782</v>
      </c>
      <c r="C20" s="27" t="s">
        <v>249</v>
      </c>
      <c r="D20" s="27">
        <f>"0,6471"</f>
        <v>0</v>
      </c>
      <c r="E20" s="27" t="s">
        <v>15</v>
      </c>
      <c r="F20" s="27" t="s">
        <v>1031</v>
      </c>
      <c r="G20" s="27" t="s">
        <v>47</v>
      </c>
      <c r="H20" s="28" t="s">
        <v>224</v>
      </c>
      <c r="I20" s="28"/>
      <c r="J20" s="27" t="s">
        <v>217</v>
      </c>
      <c r="K20" s="27" t="s">
        <v>17</v>
      </c>
      <c r="L20" s="27" t="s">
        <v>218</v>
      </c>
      <c r="M20" s="28"/>
      <c r="N20" s="27" t="s">
        <v>92</v>
      </c>
      <c r="O20" s="27" t="s">
        <v>626</v>
      </c>
      <c r="P20" s="27" t="s">
        <v>812</v>
      </c>
      <c r="Q20" s="28"/>
      <c r="R20" s="41">
        <v>475</v>
      </c>
      <c r="S20" s="27">
        <f>"307,3962"</f>
        <v>0</v>
      </c>
      <c r="T20" s="27"/>
    </row>
    <row r="22" spans="1:19" ht="16.5">
      <c r="A22" s="23" t="s">
        <v>63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20" ht="14.25">
      <c r="A23" s="16" t="s">
        <v>2783</v>
      </c>
      <c r="B23" s="16" t="s">
        <v>2784</v>
      </c>
      <c r="C23" s="16" t="s">
        <v>2436</v>
      </c>
      <c r="D23" s="16">
        <f>"0,6326"</f>
        <v>0</v>
      </c>
      <c r="E23" s="16" t="s">
        <v>1156</v>
      </c>
      <c r="F23" s="16" t="s">
        <v>87</v>
      </c>
      <c r="G23" s="16" t="s">
        <v>250</v>
      </c>
      <c r="H23" s="18"/>
      <c r="I23" s="18"/>
      <c r="J23" s="16" t="s">
        <v>17</v>
      </c>
      <c r="K23" s="16" t="s">
        <v>18</v>
      </c>
      <c r="L23" s="16" t="s">
        <v>29</v>
      </c>
      <c r="M23" s="18"/>
      <c r="N23" s="16" t="s">
        <v>88</v>
      </c>
      <c r="O23" s="16" t="s">
        <v>40</v>
      </c>
      <c r="P23" s="16" t="s">
        <v>83</v>
      </c>
      <c r="Q23" s="18"/>
      <c r="R23" s="42">
        <v>557.5</v>
      </c>
      <c r="S23" s="16">
        <f>"352,6745"</f>
        <v>0</v>
      </c>
      <c r="T23" s="16"/>
    </row>
    <row r="24" spans="1:20" ht="14.25">
      <c r="A24" s="20" t="s">
        <v>1050</v>
      </c>
      <c r="B24" s="20" t="s">
        <v>1051</v>
      </c>
      <c r="C24" s="20" t="s">
        <v>740</v>
      </c>
      <c r="D24" s="20">
        <f>"0,6247"</f>
        <v>0</v>
      </c>
      <c r="E24" s="20" t="s">
        <v>15</v>
      </c>
      <c r="F24" s="20" t="s">
        <v>30</v>
      </c>
      <c r="G24" s="20" t="s">
        <v>54</v>
      </c>
      <c r="H24" s="20" t="s">
        <v>486</v>
      </c>
      <c r="I24" s="21"/>
      <c r="J24" s="20" t="s">
        <v>527</v>
      </c>
      <c r="K24" s="20" t="s">
        <v>22</v>
      </c>
      <c r="L24" s="20" t="s">
        <v>16</v>
      </c>
      <c r="M24" s="21"/>
      <c r="N24" s="20" t="s">
        <v>131</v>
      </c>
      <c r="O24" s="21" t="s">
        <v>88</v>
      </c>
      <c r="P24" s="20" t="s">
        <v>74</v>
      </c>
      <c r="Q24" s="21"/>
      <c r="R24" s="44">
        <v>475</v>
      </c>
      <c r="S24" s="20">
        <f>"296,7088"</f>
        <v>0</v>
      </c>
      <c r="T24" s="20"/>
    </row>
    <row r="26" spans="1:19" ht="16.5">
      <c r="A26" s="23" t="s">
        <v>69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20" ht="14.25">
      <c r="A27" s="16" t="s">
        <v>2785</v>
      </c>
      <c r="B27" s="16" t="s">
        <v>2786</v>
      </c>
      <c r="C27" s="16" t="s">
        <v>2787</v>
      </c>
      <c r="D27" s="16">
        <f>"0,5971"</f>
        <v>0</v>
      </c>
      <c r="E27" s="16" t="s">
        <v>53</v>
      </c>
      <c r="F27" s="18" t="s">
        <v>41</v>
      </c>
      <c r="G27" s="16" t="s">
        <v>41</v>
      </c>
      <c r="H27" s="18" t="s">
        <v>282</v>
      </c>
      <c r="I27" s="18"/>
      <c r="J27" s="16" t="s">
        <v>246</v>
      </c>
      <c r="K27" s="16" t="s">
        <v>92</v>
      </c>
      <c r="L27" s="16" t="s">
        <v>93</v>
      </c>
      <c r="M27" s="18"/>
      <c r="N27" s="16" t="s">
        <v>316</v>
      </c>
      <c r="O27" s="16" t="s">
        <v>429</v>
      </c>
      <c r="P27" s="18" t="s">
        <v>337</v>
      </c>
      <c r="Q27" s="18"/>
      <c r="R27" s="42">
        <v>660</v>
      </c>
      <c r="S27" s="16">
        <f>"394,0860"</f>
        <v>0</v>
      </c>
      <c r="T27" s="16"/>
    </row>
    <row r="28" spans="1:20" ht="14.25">
      <c r="A28" s="24" t="s">
        <v>2788</v>
      </c>
      <c r="B28" s="24" t="s">
        <v>2789</v>
      </c>
      <c r="C28" s="24" t="s">
        <v>1643</v>
      </c>
      <c r="D28" s="24">
        <f>"0,6216"</f>
        <v>0</v>
      </c>
      <c r="E28" s="24" t="s">
        <v>15</v>
      </c>
      <c r="F28" s="24" t="s">
        <v>46</v>
      </c>
      <c r="G28" s="24" t="s">
        <v>240</v>
      </c>
      <c r="H28" s="24" t="s">
        <v>87</v>
      </c>
      <c r="I28" s="25"/>
      <c r="J28" s="24" t="s">
        <v>16</v>
      </c>
      <c r="K28" s="24" t="s">
        <v>17</v>
      </c>
      <c r="L28" s="24" t="s">
        <v>29</v>
      </c>
      <c r="M28" s="25"/>
      <c r="N28" s="24" t="s">
        <v>47</v>
      </c>
      <c r="O28" s="24" t="s">
        <v>88</v>
      </c>
      <c r="P28" s="24" t="s">
        <v>78</v>
      </c>
      <c r="Q28" s="25"/>
      <c r="R28" s="43">
        <v>550</v>
      </c>
      <c r="S28" s="24">
        <f>"341,8962"</f>
        <v>0</v>
      </c>
      <c r="T28" s="24"/>
    </row>
    <row r="29" spans="1:20" ht="14.25">
      <c r="A29" s="20" t="s">
        <v>2718</v>
      </c>
      <c r="B29" s="20" t="s">
        <v>769</v>
      </c>
      <c r="C29" s="20" t="s">
        <v>2790</v>
      </c>
      <c r="D29" s="20">
        <f>"0,7658"</f>
        <v>0</v>
      </c>
      <c r="E29" s="20" t="s">
        <v>623</v>
      </c>
      <c r="F29" s="20" t="s">
        <v>46</v>
      </c>
      <c r="G29" s="20" t="s">
        <v>224</v>
      </c>
      <c r="H29" s="20" t="s">
        <v>73</v>
      </c>
      <c r="I29" s="21"/>
      <c r="J29" s="20" t="s">
        <v>17</v>
      </c>
      <c r="K29" s="20" t="s">
        <v>555</v>
      </c>
      <c r="L29" s="20" t="s">
        <v>35</v>
      </c>
      <c r="M29" s="21"/>
      <c r="N29" s="20" t="s">
        <v>40</v>
      </c>
      <c r="O29" s="20" t="s">
        <v>83</v>
      </c>
      <c r="P29" s="20" t="s">
        <v>219</v>
      </c>
      <c r="Q29" s="21"/>
      <c r="R29" s="44">
        <v>562.5</v>
      </c>
      <c r="S29" s="20">
        <f>"430,7381"</f>
        <v>0</v>
      </c>
      <c r="T29" s="20"/>
    </row>
    <row r="31" spans="1:19" ht="16.5">
      <c r="A31" s="23" t="s">
        <v>94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20" ht="14.25">
      <c r="A32" s="27" t="s">
        <v>2791</v>
      </c>
      <c r="B32" s="27" t="s">
        <v>2792</v>
      </c>
      <c r="C32" s="27" t="s">
        <v>805</v>
      </c>
      <c r="D32" s="27">
        <f>"0,5692"</f>
        <v>0</v>
      </c>
      <c r="E32" s="27" t="s">
        <v>15</v>
      </c>
      <c r="F32" s="27" t="s">
        <v>88</v>
      </c>
      <c r="G32" s="27" t="s">
        <v>83</v>
      </c>
      <c r="H32" s="27" t="s">
        <v>78</v>
      </c>
      <c r="I32" s="28"/>
      <c r="J32" s="27" t="s">
        <v>46</v>
      </c>
      <c r="K32" s="27" t="s">
        <v>47</v>
      </c>
      <c r="L32" s="27" t="s">
        <v>131</v>
      </c>
      <c r="M32" s="28"/>
      <c r="N32" s="27" t="s">
        <v>78</v>
      </c>
      <c r="O32" s="27" t="s">
        <v>42</v>
      </c>
      <c r="P32" s="28" t="s">
        <v>79</v>
      </c>
      <c r="Q32" s="28"/>
      <c r="R32" s="41">
        <v>670</v>
      </c>
      <c r="S32" s="27">
        <f>"381,3640"</f>
        <v>0</v>
      </c>
      <c r="T32" s="27"/>
    </row>
    <row r="34" spans="1:19" ht="16.5">
      <c r="A34" s="23" t="s">
        <v>127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20" ht="14.25">
      <c r="A35" s="27" t="s">
        <v>2793</v>
      </c>
      <c r="B35" s="27" t="s">
        <v>2794</v>
      </c>
      <c r="C35" s="27" t="s">
        <v>2795</v>
      </c>
      <c r="D35" s="27">
        <f>"0,5579"</f>
        <v>0</v>
      </c>
      <c r="E35" s="27" t="s">
        <v>211</v>
      </c>
      <c r="F35" s="27" t="s">
        <v>74</v>
      </c>
      <c r="G35" s="27" t="s">
        <v>78</v>
      </c>
      <c r="H35" s="27" t="s">
        <v>41</v>
      </c>
      <c r="I35" s="28"/>
      <c r="J35" s="27" t="s">
        <v>30</v>
      </c>
      <c r="K35" s="27" t="s">
        <v>633</v>
      </c>
      <c r="L35" s="28" t="s">
        <v>774</v>
      </c>
      <c r="M35" s="28"/>
      <c r="N35" s="27" t="s">
        <v>40</v>
      </c>
      <c r="O35" s="27" t="s">
        <v>316</v>
      </c>
      <c r="P35" s="28"/>
      <c r="Q35" s="28"/>
      <c r="R35" s="41">
        <v>612.5</v>
      </c>
      <c r="S35" s="27">
        <f>"341,6831"</f>
        <v>0</v>
      </c>
      <c r="T35" s="27"/>
    </row>
    <row r="37" ht="16.5">
      <c r="E37" s="30" t="s">
        <v>144</v>
      </c>
    </row>
    <row r="38" ht="16.5">
      <c r="E38" s="30" t="s">
        <v>145</v>
      </c>
    </row>
    <row r="39" ht="16.5">
      <c r="E39" s="30" t="s">
        <v>146</v>
      </c>
    </row>
    <row r="40" ht="14.25">
      <c r="E40" s="1" t="s">
        <v>147</v>
      </c>
    </row>
    <row r="41" ht="14.25">
      <c r="E41" s="1" t="s">
        <v>148</v>
      </c>
    </row>
    <row r="42" ht="14.25">
      <c r="E42" s="1" t="s">
        <v>149</v>
      </c>
    </row>
    <row r="45" spans="1:2" ht="18.75">
      <c r="A45" s="31" t="s">
        <v>150</v>
      </c>
      <c r="B45" s="31"/>
    </row>
    <row r="46" spans="1:2" ht="16.5">
      <c r="A46" s="32" t="s">
        <v>151</v>
      </c>
      <c r="B46" s="32"/>
    </row>
    <row r="47" spans="1:2" ht="15.75">
      <c r="A47" s="33" t="s">
        <v>165</v>
      </c>
      <c r="B47" s="34"/>
    </row>
    <row r="48" spans="1:5" ht="15.75">
      <c r="A48" s="35" t="s">
        <v>1</v>
      </c>
      <c r="B48" s="35" t="s">
        <v>153</v>
      </c>
      <c r="C48" s="35" t="s">
        <v>154</v>
      </c>
      <c r="D48" s="35" t="s">
        <v>7</v>
      </c>
      <c r="E48" s="35" t="s">
        <v>155</v>
      </c>
    </row>
    <row r="49" spans="1:5" ht="14.25">
      <c r="A49" s="36" t="s">
        <v>2774</v>
      </c>
      <c r="B49" s="1" t="s">
        <v>166</v>
      </c>
      <c r="C49" s="1" t="s">
        <v>171</v>
      </c>
      <c r="D49" s="1" t="s">
        <v>1066</v>
      </c>
      <c r="E49" s="37" t="s">
        <v>2796</v>
      </c>
    </row>
    <row r="51" spans="1:2" ht="15.75">
      <c r="A51" s="33" t="s">
        <v>152</v>
      </c>
      <c r="B51" s="34"/>
    </row>
    <row r="52" spans="1:5" ht="15.75">
      <c r="A52" s="35" t="s">
        <v>1</v>
      </c>
      <c r="B52" s="35" t="s">
        <v>153</v>
      </c>
      <c r="C52" s="35" t="s">
        <v>154</v>
      </c>
      <c r="D52" s="35" t="s">
        <v>7</v>
      </c>
      <c r="E52" s="35" t="s">
        <v>155</v>
      </c>
    </row>
    <row r="53" spans="1:5" ht="14.25">
      <c r="A53" s="36" t="s">
        <v>2768</v>
      </c>
      <c r="B53" s="1" t="s">
        <v>152</v>
      </c>
      <c r="C53" s="1" t="s">
        <v>2531</v>
      </c>
      <c r="D53" s="1" t="s">
        <v>312</v>
      </c>
      <c r="E53" s="37" t="s">
        <v>2797</v>
      </c>
    </row>
    <row r="55" spans="1:2" ht="15.75">
      <c r="A55" s="33" t="s">
        <v>160</v>
      </c>
      <c r="B55" s="34"/>
    </row>
    <row r="56" spans="1:5" ht="15.75">
      <c r="A56" s="35" t="s">
        <v>1</v>
      </c>
      <c r="B56" s="35" t="s">
        <v>153</v>
      </c>
      <c r="C56" s="35" t="s">
        <v>154</v>
      </c>
      <c r="D56" s="35" t="s">
        <v>7</v>
      </c>
      <c r="E56" s="35" t="s">
        <v>155</v>
      </c>
    </row>
    <row r="57" spans="1:5" ht="14.25">
      <c r="A57" s="36" t="s">
        <v>2622</v>
      </c>
      <c r="B57" s="1" t="s">
        <v>161</v>
      </c>
      <c r="C57" s="1" t="s">
        <v>2531</v>
      </c>
      <c r="D57" s="1" t="s">
        <v>78</v>
      </c>
      <c r="E57" s="37" t="s">
        <v>2798</v>
      </c>
    </row>
    <row r="58" spans="1:5" ht="14.25">
      <c r="A58" s="36" t="s">
        <v>2772</v>
      </c>
      <c r="B58" s="1" t="s">
        <v>399</v>
      </c>
      <c r="C58" s="1" t="s">
        <v>372</v>
      </c>
      <c r="D58" s="1" t="s">
        <v>370</v>
      </c>
      <c r="E58" s="37" t="s">
        <v>2799</v>
      </c>
    </row>
    <row r="59" spans="1:5" ht="14.25">
      <c r="A59" s="36" t="s">
        <v>2768</v>
      </c>
      <c r="B59" s="1" t="s">
        <v>399</v>
      </c>
      <c r="C59" s="1" t="s">
        <v>2531</v>
      </c>
      <c r="D59" s="1" t="s">
        <v>312</v>
      </c>
      <c r="E59" s="37" t="s">
        <v>2800</v>
      </c>
    </row>
    <row r="62" spans="1:2" ht="16.5">
      <c r="A62" s="32" t="s">
        <v>164</v>
      </c>
      <c r="B62" s="32"/>
    </row>
    <row r="63" spans="1:2" ht="15.75">
      <c r="A63" s="33" t="s">
        <v>152</v>
      </c>
      <c r="B63" s="34"/>
    </row>
    <row r="64" spans="1:5" ht="15.75">
      <c r="A64" s="35" t="s">
        <v>1</v>
      </c>
      <c r="B64" s="35" t="s">
        <v>153</v>
      </c>
      <c r="C64" s="35" t="s">
        <v>154</v>
      </c>
      <c r="D64" s="35" t="s">
        <v>7</v>
      </c>
      <c r="E64" s="35" t="s">
        <v>155</v>
      </c>
    </row>
    <row r="65" spans="1:5" ht="14.25">
      <c r="A65" s="36" t="s">
        <v>2785</v>
      </c>
      <c r="B65" s="1" t="s">
        <v>152</v>
      </c>
      <c r="C65" s="1" t="s">
        <v>167</v>
      </c>
      <c r="D65" s="1" t="s">
        <v>1534</v>
      </c>
      <c r="E65" s="37" t="s">
        <v>2801</v>
      </c>
    </row>
    <row r="66" spans="1:5" ht="14.25">
      <c r="A66" s="36" t="s">
        <v>2791</v>
      </c>
      <c r="B66" s="1" t="s">
        <v>152</v>
      </c>
      <c r="C66" s="1" t="s">
        <v>173</v>
      </c>
      <c r="D66" s="1" t="s">
        <v>1541</v>
      </c>
      <c r="E66" s="37" t="s">
        <v>2802</v>
      </c>
    </row>
    <row r="67" spans="1:5" ht="14.25">
      <c r="A67" s="36" t="s">
        <v>2783</v>
      </c>
      <c r="B67" s="1" t="s">
        <v>152</v>
      </c>
      <c r="C67" s="1" t="s">
        <v>181</v>
      </c>
      <c r="D67" s="1" t="s">
        <v>1939</v>
      </c>
      <c r="E67" s="37" t="s">
        <v>2803</v>
      </c>
    </row>
    <row r="68" spans="1:5" ht="14.25">
      <c r="A68" s="36" t="s">
        <v>2793</v>
      </c>
      <c r="B68" s="1" t="s">
        <v>152</v>
      </c>
      <c r="C68" s="1" t="s">
        <v>169</v>
      </c>
      <c r="D68" s="1" t="s">
        <v>1409</v>
      </c>
      <c r="E68" s="37" t="s">
        <v>2804</v>
      </c>
    </row>
    <row r="69" spans="1:5" ht="14.25">
      <c r="A69" s="36" t="s">
        <v>2781</v>
      </c>
      <c r="B69" s="1" t="s">
        <v>152</v>
      </c>
      <c r="C69" s="1" t="s">
        <v>171</v>
      </c>
      <c r="D69" s="1" t="s">
        <v>1519</v>
      </c>
      <c r="E69" s="37" t="s">
        <v>2805</v>
      </c>
    </row>
    <row r="70" spans="1:5" ht="14.25">
      <c r="A70" s="36" t="s">
        <v>1050</v>
      </c>
      <c r="B70" s="1" t="s">
        <v>152</v>
      </c>
      <c r="C70" s="1" t="s">
        <v>181</v>
      </c>
      <c r="D70" s="1" t="s">
        <v>1519</v>
      </c>
      <c r="E70" s="37" t="s">
        <v>2806</v>
      </c>
    </row>
    <row r="72" spans="1:2" ht="15.75">
      <c r="A72" s="33" t="s">
        <v>160</v>
      </c>
      <c r="B72" s="34"/>
    </row>
    <row r="73" spans="1:5" ht="15.75">
      <c r="A73" s="35" t="s">
        <v>1</v>
      </c>
      <c r="B73" s="35" t="s">
        <v>153</v>
      </c>
      <c r="C73" s="35" t="s">
        <v>154</v>
      </c>
      <c r="D73" s="35" t="s">
        <v>7</v>
      </c>
      <c r="E73" s="35" t="s">
        <v>155</v>
      </c>
    </row>
    <row r="74" spans="1:5" ht="14.25">
      <c r="A74" s="36" t="s">
        <v>2718</v>
      </c>
      <c r="B74" s="1" t="s">
        <v>190</v>
      </c>
      <c r="C74" s="1" t="s">
        <v>167</v>
      </c>
      <c r="D74" s="1" t="s">
        <v>2807</v>
      </c>
      <c r="E74" s="37" t="s">
        <v>2808</v>
      </c>
    </row>
    <row r="75" spans="1:5" ht="14.25">
      <c r="A75" s="36" t="s">
        <v>2788</v>
      </c>
      <c r="B75" s="1" t="s">
        <v>188</v>
      </c>
      <c r="C75" s="1" t="s">
        <v>167</v>
      </c>
      <c r="D75" s="1" t="s">
        <v>2809</v>
      </c>
      <c r="E75" s="37" t="s">
        <v>2810</v>
      </c>
    </row>
    <row r="76" spans="1:5" ht="14.25">
      <c r="A76" s="36" t="s">
        <v>2776</v>
      </c>
      <c r="B76" s="1" t="s">
        <v>192</v>
      </c>
      <c r="C76" s="1" t="s">
        <v>158</v>
      </c>
      <c r="D76" s="1" t="s">
        <v>98</v>
      </c>
      <c r="E76" s="37" t="s">
        <v>2811</v>
      </c>
    </row>
  </sheetData>
  <sheetProtection selectLockedCells="1" selectUnlockedCells="1"/>
  <mergeCells count="21">
    <mergeCell ref="A1:T2"/>
    <mergeCell ref="A3:A4"/>
    <mergeCell ref="B3:B4"/>
    <mergeCell ref="C3:C4"/>
    <mergeCell ref="D3:D4"/>
    <mergeCell ref="E3:E4"/>
    <mergeCell ref="F3:I3"/>
    <mergeCell ref="J3:M3"/>
    <mergeCell ref="N3:Q3"/>
    <mergeCell ref="R3:R4"/>
    <mergeCell ref="S3:S4"/>
    <mergeCell ref="T3:T4"/>
    <mergeCell ref="A5:S5"/>
    <mergeCell ref="A10:S10"/>
    <mergeCell ref="A13:S13"/>
    <mergeCell ref="A16:S16"/>
    <mergeCell ref="A19:S19"/>
    <mergeCell ref="A22:S22"/>
    <mergeCell ref="A26:S26"/>
    <mergeCell ref="A31:S31"/>
    <mergeCell ref="A34:S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I22" sqref="I22"/>
    </sheetView>
  </sheetViews>
  <sheetFormatPr defaultColWidth="9.00390625" defaultRowHeight="12.75"/>
  <cols>
    <col min="1" max="1" width="24.875" style="1" customWidth="1"/>
    <col min="2" max="2" width="19.1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6.375" style="1" customWidth="1"/>
    <col min="7" max="8" width="5.50390625" style="1" customWidth="1"/>
    <col min="9" max="9" width="4.50390625" style="1" customWidth="1"/>
    <col min="10" max="10" width="6.375" style="1" customWidth="1"/>
    <col min="11" max="12" width="5.50390625" style="1" customWidth="1"/>
    <col min="13" max="13" width="4.50390625" style="1" customWidth="1"/>
    <col min="14" max="14" width="6.375" style="1" customWidth="1"/>
    <col min="15" max="16" width="5.50390625" style="1" customWidth="1"/>
    <col min="17" max="17" width="4.50390625" style="1" customWidth="1"/>
    <col min="18" max="18" width="6.375" style="37" customWidth="1"/>
    <col min="19" max="19" width="8.50390625" style="1" customWidth="1"/>
    <col min="20" max="20" width="7.125" style="1" customWidth="1"/>
  </cols>
  <sheetData>
    <row r="1" spans="1:20" s="4" customFormat="1" ht="15" customHeight="1">
      <c r="A1" s="3" t="s">
        <v>2812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6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1337</v>
      </c>
      <c r="G3" s="8"/>
      <c r="H3" s="8"/>
      <c r="I3" s="8"/>
      <c r="J3" s="8" t="s">
        <v>6</v>
      </c>
      <c r="K3" s="8"/>
      <c r="L3" s="8"/>
      <c r="M3" s="8"/>
      <c r="N3" s="8" t="s">
        <v>993</v>
      </c>
      <c r="O3" s="8"/>
      <c r="P3" s="8"/>
      <c r="Q3" s="8"/>
      <c r="R3" s="40" t="s">
        <v>7</v>
      </c>
      <c r="S3" s="7" t="s">
        <v>8</v>
      </c>
      <c r="T3" s="10" t="s">
        <v>9</v>
      </c>
    </row>
    <row r="4" spans="1:20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12">
        <v>1</v>
      </c>
      <c r="K4" s="13">
        <v>2</v>
      </c>
      <c r="L4" s="13">
        <v>3</v>
      </c>
      <c r="M4" s="14" t="s">
        <v>10</v>
      </c>
      <c r="N4" s="12">
        <v>1</v>
      </c>
      <c r="O4" s="13">
        <v>2</v>
      </c>
      <c r="P4" s="13">
        <v>3</v>
      </c>
      <c r="Q4" s="14" t="s">
        <v>10</v>
      </c>
      <c r="R4" s="40"/>
      <c r="S4" s="7"/>
      <c r="T4" s="10"/>
    </row>
    <row r="5" spans="1:19" ht="16.5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0" ht="14.25">
      <c r="A6" s="27" t="s">
        <v>2813</v>
      </c>
      <c r="B6" s="27" t="s">
        <v>2814</v>
      </c>
      <c r="C6" s="27" t="s">
        <v>2815</v>
      </c>
      <c r="D6" s="27">
        <f>"0,7671"</f>
        <v>0</v>
      </c>
      <c r="E6" s="27" t="s">
        <v>15</v>
      </c>
      <c r="F6" s="28" t="s">
        <v>41</v>
      </c>
      <c r="G6" s="27" t="s">
        <v>41</v>
      </c>
      <c r="H6" s="28" t="s">
        <v>337</v>
      </c>
      <c r="I6" s="28"/>
      <c r="J6" s="27" t="s">
        <v>30</v>
      </c>
      <c r="K6" s="28" t="s">
        <v>36</v>
      </c>
      <c r="L6" s="28" t="s">
        <v>36</v>
      </c>
      <c r="M6" s="28"/>
      <c r="N6" s="28" t="s">
        <v>40</v>
      </c>
      <c r="O6" s="27" t="s">
        <v>40</v>
      </c>
      <c r="P6" s="28" t="s">
        <v>41</v>
      </c>
      <c r="Q6" s="28"/>
      <c r="R6" s="41" t="s">
        <v>1856</v>
      </c>
      <c r="S6" s="27" t="s">
        <v>2816</v>
      </c>
      <c r="T6" s="27"/>
    </row>
    <row r="8" ht="16.5">
      <c r="E8" s="30" t="s">
        <v>144</v>
      </c>
    </row>
    <row r="9" ht="16.5">
      <c r="E9" s="30" t="s">
        <v>145</v>
      </c>
    </row>
    <row r="10" ht="16.5">
      <c r="E10" s="30" t="s">
        <v>146</v>
      </c>
    </row>
    <row r="11" ht="14.25">
      <c r="E11" s="1" t="s">
        <v>147</v>
      </c>
    </row>
    <row r="12" ht="14.25">
      <c r="E12" s="1" t="s">
        <v>148</v>
      </c>
    </row>
    <row r="13" ht="14.25">
      <c r="E13" s="1" t="s">
        <v>149</v>
      </c>
    </row>
    <row r="15" spans="2:3" ht="18.75">
      <c r="B15" s="31" t="s">
        <v>150</v>
      </c>
      <c r="C15" s="31"/>
    </row>
    <row r="16" spans="2:3" ht="16.5">
      <c r="B16" s="32" t="s">
        <v>164</v>
      </c>
      <c r="C16" s="32"/>
    </row>
    <row r="17" spans="2:3" ht="15.75">
      <c r="B17" s="33" t="s">
        <v>152</v>
      </c>
      <c r="C17" s="34"/>
    </row>
    <row r="18" spans="2:6" ht="15.75">
      <c r="B18" s="35" t="s">
        <v>1</v>
      </c>
      <c r="C18" s="35" t="s">
        <v>153</v>
      </c>
      <c r="D18" s="35" t="s">
        <v>154</v>
      </c>
      <c r="E18" s="35" t="s">
        <v>7</v>
      </c>
      <c r="F18" s="35" t="s">
        <v>155</v>
      </c>
    </row>
    <row r="19" spans="2:6" ht="14.25">
      <c r="B19" s="36" t="s">
        <v>2813</v>
      </c>
      <c r="C19" s="1" t="s">
        <v>152</v>
      </c>
      <c r="D19" s="1" t="s">
        <v>158</v>
      </c>
      <c r="E19" s="1" t="s">
        <v>1383</v>
      </c>
      <c r="F19" s="37" t="s">
        <v>2817</v>
      </c>
    </row>
  </sheetData>
  <sheetProtection selectLockedCells="1" selectUnlockedCells="1"/>
  <mergeCells count="13">
    <mergeCell ref="A1:T2"/>
    <mergeCell ref="A3:A4"/>
    <mergeCell ref="B3:B4"/>
    <mergeCell ref="C3:C4"/>
    <mergeCell ref="D3:D4"/>
    <mergeCell ref="E3:E4"/>
    <mergeCell ref="F3:I3"/>
    <mergeCell ref="J3:M3"/>
    <mergeCell ref="N3:Q3"/>
    <mergeCell ref="R3:R4"/>
    <mergeCell ref="S3:S4"/>
    <mergeCell ref="T3:T4"/>
    <mergeCell ref="A5:S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32" sqref="D32"/>
    </sheetView>
  </sheetViews>
  <sheetFormatPr defaultColWidth="9.00390625" defaultRowHeight="12.75"/>
  <cols>
    <col min="1" max="1" width="24.875" style="1" customWidth="1"/>
    <col min="2" max="2" width="26.25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6.375" style="1" customWidth="1"/>
    <col min="7" max="8" width="5.50390625" style="1" customWidth="1"/>
    <col min="9" max="9" width="4.50390625" style="1" customWidth="1"/>
    <col min="10" max="10" width="5.375" style="1" customWidth="1"/>
    <col min="11" max="12" width="5.50390625" style="1" customWidth="1"/>
    <col min="13" max="13" width="4.50390625" style="1" customWidth="1"/>
    <col min="14" max="14" width="6.375" style="1" customWidth="1"/>
    <col min="15" max="16" width="5.50390625" style="1" customWidth="1"/>
    <col min="17" max="17" width="4.50390625" style="1" customWidth="1"/>
    <col min="18" max="18" width="6.375" style="2" customWidth="1"/>
    <col min="19" max="19" width="8.50390625" style="1" customWidth="1"/>
    <col min="20" max="20" width="7.125" style="1" customWidth="1"/>
  </cols>
  <sheetData>
    <row r="1" spans="1:20" s="4" customFormat="1" ht="15" customHeight="1">
      <c r="A1" s="3" t="s">
        <v>2818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7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1337</v>
      </c>
      <c r="G3" s="8"/>
      <c r="H3" s="8"/>
      <c r="I3" s="8"/>
      <c r="J3" s="8" t="s">
        <v>6</v>
      </c>
      <c r="K3" s="8"/>
      <c r="L3" s="8"/>
      <c r="M3" s="8"/>
      <c r="N3" s="8" t="s">
        <v>993</v>
      </c>
      <c r="O3" s="8"/>
      <c r="P3" s="8"/>
      <c r="Q3" s="8"/>
      <c r="R3" s="9" t="s">
        <v>7</v>
      </c>
      <c r="S3" s="7" t="s">
        <v>8</v>
      </c>
      <c r="T3" s="10" t="s">
        <v>9</v>
      </c>
    </row>
    <row r="4" spans="1:20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12">
        <v>1</v>
      </c>
      <c r="K4" s="13">
        <v>2</v>
      </c>
      <c r="L4" s="13">
        <v>3</v>
      </c>
      <c r="M4" s="14" t="s">
        <v>10</v>
      </c>
      <c r="N4" s="12">
        <v>1</v>
      </c>
      <c r="O4" s="13">
        <v>2</v>
      </c>
      <c r="P4" s="13">
        <v>3</v>
      </c>
      <c r="Q4" s="14" t="s">
        <v>10</v>
      </c>
      <c r="R4" s="9"/>
      <c r="S4" s="7"/>
      <c r="T4" s="10"/>
    </row>
    <row r="5" spans="1:19" ht="16.5">
      <c r="A5" s="15" t="s">
        <v>2286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0" ht="14.25">
      <c r="A6" s="27" t="s">
        <v>2819</v>
      </c>
      <c r="B6" s="27" t="s">
        <v>2820</v>
      </c>
      <c r="C6" s="27" t="s">
        <v>2627</v>
      </c>
      <c r="D6" s="27">
        <f>"1,1809"</f>
        <v>0</v>
      </c>
      <c r="E6" s="27" t="s">
        <v>15</v>
      </c>
      <c r="F6" s="27" t="s">
        <v>62</v>
      </c>
      <c r="G6" s="27" t="s">
        <v>774</v>
      </c>
      <c r="H6" s="28" t="s">
        <v>120</v>
      </c>
      <c r="I6" s="28"/>
      <c r="J6" s="27" t="s">
        <v>540</v>
      </c>
      <c r="K6" s="28" t="s">
        <v>526</v>
      </c>
      <c r="L6" s="28" t="s">
        <v>526</v>
      </c>
      <c r="M6" s="28"/>
      <c r="N6" s="27" t="s">
        <v>17</v>
      </c>
      <c r="O6" s="27" t="s">
        <v>29</v>
      </c>
      <c r="P6" s="28" t="s">
        <v>30</v>
      </c>
      <c r="Q6" s="28"/>
      <c r="R6" s="29" t="s">
        <v>1066</v>
      </c>
      <c r="S6" s="27" t="s">
        <v>2821</v>
      </c>
      <c r="T6" s="27"/>
    </row>
    <row r="8" spans="1:19" ht="16.5">
      <c r="A8" s="23" t="s">
        <v>63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20" ht="14.25">
      <c r="A9" s="27" t="s">
        <v>2822</v>
      </c>
      <c r="B9" s="27" t="s">
        <v>2823</v>
      </c>
      <c r="C9" s="27" t="s">
        <v>428</v>
      </c>
      <c r="D9" s="27">
        <f>"0,6122"</f>
        <v>0</v>
      </c>
      <c r="E9" s="27" t="s">
        <v>15</v>
      </c>
      <c r="F9" s="27" t="s">
        <v>353</v>
      </c>
      <c r="G9" s="27" t="s">
        <v>298</v>
      </c>
      <c r="H9" s="28"/>
      <c r="I9" s="28"/>
      <c r="J9" s="27" t="s">
        <v>47</v>
      </c>
      <c r="K9" s="27" t="s">
        <v>131</v>
      </c>
      <c r="L9" s="28" t="s">
        <v>212</v>
      </c>
      <c r="M9" s="28"/>
      <c r="N9" s="28" t="s">
        <v>282</v>
      </c>
      <c r="O9" s="28" t="s">
        <v>282</v>
      </c>
      <c r="P9" s="27" t="s">
        <v>282</v>
      </c>
      <c r="Q9" s="28"/>
      <c r="R9" s="29">
        <v>770</v>
      </c>
      <c r="S9" s="27">
        <f>"471,4325"</f>
        <v>0</v>
      </c>
      <c r="T9" s="27"/>
    </row>
    <row r="11" spans="1:19" ht="16.5">
      <c r="A11" s="23" t="s">
        <v>69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20" ht="14.25">
      <c r="A12" s="27" t="s">
        <v>2252</v>
      </c>
      <c r="B12" s="27" t="s">
        <v>2253</v>
      </c>
      <c r="C12" s="27" t="s">
        <v>770</v>
      </c>
      <c r="D12" s="27">
        <f>"0,5917"</f>
        <v>0</v>
      </c>
      <c r="E12" s="27" t="s">
        <v>15</v>
      </c>
      <c r="F12" s="28" t="s">
        <v>486</v>
      </c>
      <c r="G12" s="27" t="s">
        <v>46</v>
      </c>
      <c r="H12" s="27" t="s">
        <v>131</v>
      </c>
      <c r="I12" s="28"/>
      <c r="J12" s="27" t="s">
        <v>16</v>
      </c>
      <c r="K12" s="28" t="s">
        <v>35</v>
      </c>
      <c r="L12" s="28" t="s">
        <v>35</v>
      </c>
      <c r="M12" s="28"/>
      <c r="N12" s="27" t="s">
        <v>486</v>
      </c>
      <c r="O12" s="28"/>
      <c r="P12" s="28"/>
      <c r="Q12" s="28"/>
      <c r="R12" s="29" t="s">
        <v>2824</v>
      </c>
      <c r="S12" s="27" t="s">
        <v>2825</v>
      </c>
      <c r="T12" s="27"/>
    </row>
    <row r="14" ht="16.5">
      <c r="E14" s="30" t="s">
        <v>144</v>
      </c>
    </row>
    <row r="15" ht="16.5">
      <c r="E15" s="30" t="s">
        <v>145</v>
      </c>
    </row>
    <row r="16" ht="16.5">
      <c r="E16" s="30" t="s">
        <v>146</v>
      </c>
    </row>
    <row r="17" ht="14.25">
      <c r="E17" s="1" t="s">
        <v>147</v>
      </c>
    </row>
    <row r="18" ht="14.25">
      <c r="E18" s="1" t="s">
        <v>148</v>
      </c>
    </row>
    <row r="19" ht="14.25">
      <c r="E19" s="1" t="s">
        <v>149</v>
      </c>
    </row>
    <row r="22" spans="1:2" ht="18.75">
      <c r="A22" s="31" t="s">
        <v>150</v>
      </c>
      <c r="B22" s="31"/>
    </row>
    <row r="23" spans="1:2" ht="16.5">
      <c r="A23" s="32" t="s">
        <v>151</v>
      </c>
      <c r="B23" s="32"/>
    </row>
    <row r="24" spans="1:2" ht="15.75">
      <c r="A24" s="33" t="s">
        <v>152</v>
      </c>
      <c r="B24" s="34"/>
    </row>
    <row r="25" spans="1:5" ht="15.75">
      <c r="A25" s="35" t="s">
        <v>1</v>
      </c>
      <c r="B25" s="35" t="s">
        <v>153</v>
      </c>
      <c r="C25" s="35" t="s">
        <v>154</v>
      </c>
      <c r="D25" s="35" t="s">
        <v>7</v>
      </c>
      <c r="E25" s="35" t="s">
        <v>155</v>
      </c>
    </row>
    <row r="26" spans="1:5" ht="14.25">
      <c r="A26" s="36" t="s">
        <v>2819</v>
      </c>
      <c r="B26" s="1" t="s">
        <v>152</v>
      </c>
      <c r="C26" s="1" t="s">
        <v>2729</v>
      </c>
      <c r="D26" s="100" t="s">
        <v>1066</v>
      </c>
      <c r="E26" s="41" t="s">
        <v>2821</v>
      </c>
    </row>
    <row r="29" spans="1:2" ht="16.5">
      <c r="A29" s="32" t="s">
        <v>164</v>
      </c>
      <c r="B29" s="32"/>
    </row>
    <row r="30" spans="1:2" ht="15.75">
      <c r="A30" s="33" t="s">
        <v>165</v>
      </c>
      <c r="B30" s="34"/>
    </row>
    <row r="31" spans="1:5" ht="15.75">
      <c r="A31" s="35" t="s">
        <v>1</v>
      </c>
      <c r="B31" s="35" t="s">
        <v>153</v>
      </c>
      <c r="C31" s="35" t="s">
        <v>154</v>
      </c>
      <c r="D31" s="35" t="s">
        <v>7</v>
      </c>
      <c r="E31" s="35" t="s">
        <v>155</v>
      </c>
    </row>
    <row r="32" spans="1:5" ht="14.25">
      <c r="A32" s="36" t="s">
        <v>2252</v>
      </c>
      <c r="B32" s="1" t="s">
        <v>166</v>
      </c>
      <c r="C32" s="1" t="s">
        <v>167</v>
      </c>
      <c r="D32" s="101" t="s">
        <v>2824</v>
      </c>
      <c r="E32" s="41" t="s">
        <v>2825</v>
      </c>
    </row>
    <row r="34" spans="1:2" ht="15.75">
      <c r="A34" s="33" t="s">
        <v>152</v>
      </c>
      <c r="B34" s="34"/>
    </row>
    <row r="35" spans="1:5" ht="15.75">
      <c r="A35" s="35" t="s">
        <v>1</v>
      </c>
      <c r="B35" s="35" t="s">
        <v>153</v>
      </c>
      <c r="C35" s="35" t="s">
        <v>154</v>
      </c>
      <c r="D35" s="35" t="s">
        <v>7</v>
      </c>
      <c r="E35" s="35" t="s">
        <v>155</v>
      </c>
    </row>
    <row r="36" spans="1:5" ht="14.25">
      <c r="A36" s="36" t="s">
        <v>2822</v>
      </c>
      <c r="B36" s="1" t="s">
        <v>152</v>
      </c>
      <c r="C36" s="1" t="s">
        <v>181</v>
      </c>
      <c r="D36" s="1" t="s">
        <v>1731</v>
      </c>
      <c r="E36" s="37" t="s">
        <v>2826</v>
      </c>
    </row>
  </sheetData>
  <sheetProtection selectLockedCells="1" selectUnlockedCells="1"/>
  <mergeCells count="15">
    <mergeCell ref="A1:T2"/>
    <mergeCell ref="A3:A4"/>
    <mergeCell ref="B3:B4"/>
    <mergeCell ref="C3:C4"/>
    <mergeCell ref="D3:D4"/>
    <mergeCell ref="E3:E4"/>
    <mergeCell ref="F3:I3"/>
    <mergeCell ref="J3:M3"/>
    <mergeCell ref="N3:Q3"/>
    <mergeCell ref="R3:R4"/>
    <mergeCell ref="S3:S4"/>
    <mergeCell ref="T3:T4"/>
    <mergeCell ref="A5:S5"/>
    <mergeCell ref="A8:S8"/>
    <mergeCell ref="A11:S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155"/>
  <sheetViews>
    <sheetView workbookViewId="0" topLeftCell="A1">
      <selection activeCell="R1" sqref="R1"/>
    </sheetView>
  </sheetViews>
  <sheetFormatPr defaultColWidth="9.00390625" defaultRowHeight="12.75"/>
  <cols>
    <col min="1" max="1" width="25.5039062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8" width="5.50390625" style="1" customWidth="1"/>
    <col min="9" max="9" width="4.50390625" style="1" customWidth="1"/>
    <col min="10" max="12" width="5.50390625" style="1" customWidth="1"/>
    <col min="13" max="13" width="4.50390625" style="1" customWidth="1"/>
    <col min="14" max="17" width="5.50390625" style="1" customWidth="1"/>
    <col min="18" max="18" width="6.375" style="2" customWidth="1"/>
    <col min="19" max="19" width="8.50390625" style="1" customWidth="1"/>
    <col min="20" max="20" width="12.375" style="1" customWidth="1"/>
  </cols>
  <sheetData>
    <row r="1" spans="1:20" s="4" customFormat="1" ht="15" customHeight="1">
      <c r="A1" s="3" t="s">
        <v>2827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5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1337</v>
      </c>
      <c r="G3" s="8"/>
      <c r="H3" s="8"/>
      <c r="I3" s="8"/>
      <c r="J3" s="8" t="s">
        <v>6</v>
      </c>
      <c r="K3" s="8"/>
      <c r="L3" s="8"/>
      <c r="M3" s="8"/>
      <c r="N3" s="8" t="s">
        <v>993</v>
      </c>
      <c r="O3" s="8"/>
      <c r="P3" s="8"/>
      <c r="Q3" s="8"/>
      <c r="R3" s="9" t="s">
        <v>7</v>
      </c>
      <c r="S3" s="7" t="s">
        <v>8</v>
      </c>
      <c r="T3" s="10" t="s">
        <v>9</v>
      </c>
    </row>
    <row r="4" spans="1:20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12">
        <v>1</v>
      </c>
      <c r="K4" s="13">
        <v>2</v>
      </c>
      <c r="L4" s="13">
        <v>3</v>
      </c>
      <c r="M4" s="14" t="s">
        <v>10</v>
      </c>
      <c r="N4" s="12">
        <v>1</v>
      </c>
      <c r="O4" s="13">
        <v>2</v>
      </c>
      <c r="P4" s="13">
        <v>3</v>
      </c>
      <c r="Q4" s="14" t="s">
        <v>10</v>
      </c>
      <c r="R4" s="9"/>
      <c r="S4" s="7"/>
      <c r="T4" s="10"/>
    </row>
    <row r="5" spans="1:19" ht="16.5">
      <c r="A5" s="15" t="s">
        <v>2278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0" ht="14.25">
      <c r="A6" s="16" t="s">
        <v>2828</v>
      </c>
      <c r="B6" s="16" t="s">
        <v>2829</v>
      </c>
      <c r="C6" s="16" t="s">
        <v>2830</v>
      </c>
      <c r="D6" s="16">
        <f>"1,2767"</f>
        <v>0</v>
      </c>
      <c r="E6" s="16" t="s">
        <v>15</v>
      </c>
      <c r="F6" s="18" t="s">
        <v>1560</v>
      </c>
      <c r="G6" s="16" t="s">
        <v>527</v>
      </c>
      <c r="H6" s="16" t="s">
        <v>328</v>
      </c>
      <c r="I6" s="18"/>
      <c r="J6" s="16" t="s">
        <v>2831</v>
      </c>
      <c r="K6" s="16" t="s">
        <v>1559</v>
      </c>
      <c r="L6" s="18"/>
      <c r="M6" s="18"/>
      <c r="N6" s="16" t="s">
        <v>527</v>
      </c>
      <c r="O6" s="16" t="s">
        <v>328</v>
      </c>
      <c r="P6" s="18"/>
      <c r="Q6" s="18"/>
      <c r="R6" s="19">
        <v>222.5</v>
      </c>
      <c r="S6" s="16">
        <f>"284,0658"</f>
        <v>0</v>
      </c>
      <c r="T6" s="16"/>
    </row>
    <row r="7" spans="1:20" ht="14.25">
      <c r="A7" s="24" t="s">
        <v>2768</v>
      </c>
      <c r="B7" s="24" t="s">
        <v>2769</v>
      </c>
      <c r="C7" s="24" t="s">
        <v>2770</v>
      </c>
      <c r="D7" s="24">
        <f>"1,3305"</f>
        <v>0</v>
      </c>
      <c r="E7" s="24" t="s">
        <v>1156</v>
      </c>
      <c r="F7" s="24" t="s">
        <v>372</v>
      </c>
      <c r="G7" s="25"/>
      <c r="H7" s="25"/>
      <c r="I7" s="25"/>
      <c r="J7" s="24" t="s">
        <v>2030</v>
      </c>
      <c r="K7" s="25"/>
      <c r="L7" s="25"/>
      <c r="M7" s="25"/>
      <c r="N7" s="24" t="s">
        <v>372</v>
      </c>
      <c r="O7" s="25"/>
      <c r="P7" s="25"/>
      <c r="Q7" s="25"/>
      <c r="R7" s="26" t="s">
        <v>254</v>
      </c>
      <c r="S7" s="24" t="s">
        <v>2832</v>
      </c>
      <c r="T7" s="24"/>
    </row>
    <row r="8" spans="1:20" ht="14.25">
      <c r="A8" s="20" t="s">
        <v>2768</v>
      </c>
      <c r="B8" s="20" t="s">
        <v>2424</v>
      </c>
      <c r="C8" s="20" t="s">
        <v>2770</v>
      </c>
      <c r="D8" s="20">
        <f>"1,3438"</f>
        <v>0</v>
      </c>
      <c r="E8" s="20" t="s">
        <v>1156</v>
      </c>
      <c r="F8" s="20" t="s">
        <v>372</v>
      </c>
      <c r="G8" s="21"/>
      <c r="H8" s="21"/>
      <c r="I8" s="21"/>
      <c r="J8" s="20" t="s">
        <v>2030</v>
      </c>
      <c r="K8" s="21"/>
      <c r="L8" s="21"/>
      <c r="M8" s="21"/>
      <c r="N8" s="20" t="s">
        <v>372</v>
      </c>
      <c r="O8" s="21"/>
      <c r="P8" s="21"/>
      <c r="Q8" s="21"/>
      <c r="R8" s="22" t="s">
        <v>254</v>
      </c>
      <c r="S8" s="20" t="s">
        <v>2833</v>
      </c>
      <c r="T8" s="20"/>
    </row>
    <row r="10" spans="1:19" ht="16.5">
      <c r="A10" s="23" t="s">
        <v>2286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20" ht="14.25">
      <c r="A11" s="16" t="s">
        <v>2834</v>
      </c>
      <c r="B11" s="16" t="s">
        <v>2835</v>
      </c>
      <c r="C11" s="16" t="s">
        <v>2836</v>
      </c>
      <c r="D11" s="16">
        <f>"1,2019"</f>
        <v>0</v>
      </c>
      <c r="E11" s="16" t="s">
        <v>509</v>
      </c>
      <c r="F11" s="16" t="s">
        <v>528</v>
      </c>
      <c r="G11" s="16" t="s">
        <v>23</v>
      </c>
      <c r="H11" s="16" t="s">
        <v>24</v>
      </c>
      <c r="I11" s="18"/>
      <c r="J11" s="16" t="s">
        <v>2302</v>
      </c>
      <c r="K11" s="16" t="s">
        <v>594</v>
      </c>
      <c r="L11" s="18" t="s">
        <v>463</v>
      </c>
      <c r="M11" s="18"/>
      <c r="N11" s="18" t="s">
        <v>167</v>
      </c>
      <c r="O11" s="18" t="s">
        <v>17</v>
      </c>
      <c r="P11" s="16" t="s">
        <v>17</v>
      </c>
      <c r="Q11" s="18"/>
      <c r="R11" s="19">
        <v>257.5</v>
      </c>
      <c r="S11" s="16">
        <f>"309,4893"</f>
        <v>0</v>
      </c>
      <c r="T11" s="16"/>
    </row>
    <row r="12" spans="1:20" ht="14.25">
      <c r="A12" s="24" t="s">
        <v>2837</v>
      </c>
      <c r="B12" s="24" t="s">
        <v>2838</v>
      </c>
      <c r="C12" s="24" t="s">
        <v>2839</v>
      </c>
      <c r="D12" s="24">
        <f>"1,1790"</f>
        <v>0</v>
      </c>
      <c r="E12" s="24" t="s">
        <v>15</v>
      </c>
      <c r="F12" s="24" t="s">
        <v>511</v>
      </c>
      <c r="G12" s="24" t="s">
        <v>512</v>
      </c>
      <c r="H12" s="25" t="s">
        <v>528</v>
      </c>
      <c r="I12" s="25"/>
      <c r="J12" s="24" t="s">
        <v>691</v>
      </c>
      <c r="K12" s="24" t="s">
        <v>547</v>
      </c>
      <c r="L12" s="25" t="s">
        <v>540</v>
      </c>
      <c r="M12" s="25"/>
      <c r="N12" s="24" t="s">
        <v>527</v>
      </c>
      <c r="O12" s="25" t="s">
        <v>328</v>
      </c>
      <c r="P12" s="24" t="s">
        <v>328</v>
      </c>
      <c r="Q12" s="25"/>
      <c r="R12" s="26">
        <v>235</v>
      </c>
      <c r="S12" s="24">
        <f>"277,0650"</f>
        <v>0</v>
      </c>
      <c r="T12" s="24"/>
    </row>
    <row r="13" spans="1:20" ht="14.25">
      <c r="A13" s="20" t="s">
        <v>2840</v>
      </c>
      <c r="B13" s="20" t="s">
        <v>2841</v>
      </c>
      <c r="C13" s="20" t="s">
        <v>2627</v>
      </c>
      <c r="D13" s="20">
        <f>"1,1809"</f>
        <v>0</v>
      </c>
      <c r="E13" s="20" t="s">
        <v>15</v>
      </c>
      <c r="F13" s="20" t="s">
        <v>540</v>
      </c>
      <c r="G13" s="20" t="s">
        <v>526</v>
      </c>
      <c r="H13" s="20" t="s">
        <v>511</v>
      </c>
      <c r="I13" s="21"/>
      <c r="J13" s="20" t="s">
        <v>580</v>
      </c>
      <c r="K13" s="20" t="s">
        <v>1562</v>
      </c>
      <c r="L13" s="20" t="s">
        <v>581</v>
      </c>
      <c r="M13" s="21"/>
      <c r="N13" s="20" t="s">
        <v>511</v>
      </c>
      <c r="O13" s="20" t="s">
        <v>328</v>
      </c>
      <c r="P13" s="21"/>
      <c r="Q13" s="21"/>
      <c r="R13" s="22">
        <v>202.5</v>
      </c>
      <c r="S13" s="20">
        <f>"239,1322"</f>
        <v>0</v>
      </c>
      <c r="T13" s="20"/>
    </row>
    <row r="15" spans="1:19" ht="16.5">
      <c r="A15" s="23" t="s">
        <v>213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20" ht="14.25">
      <c r="A16" s="27" t="s">
        <v>2842</v>
      </c>
      <c r="B16" s="27" t="s">
        <v>2843</v>
      </c>
      <c r="C16" s="27" t="s">
        <v>1556</v>
      </c>
      <c r="D16" s="27">
        <f>"1,1076"</f>
        <v>0</v>
      </c>
      <c r="E16" s="27" t="s">
        <v>15</v>
      </c>
      <c r="F16" s="28" t="s">
        <v>1560</v>
      </c>
      <c r="G16" s="28" t="s">
        <v>527</v>
      </c>
      <c r="H16" s="27" t="s">
        <v>527</v>
      </c>
      <c r="I16" s="28"/>
      <c r="J16" s="27" t="s">
        <v>582</v>
      </c>
      <c r="K16" s="28" t="s">
        <v>594</v>
      </c>
      <c r="L16" s="28" t="s">
        <v>594</v>
      </c>
      <c r="M16" s="28"/>
      <c r="N16" s="27" t="s">
        <v>456</v>
      </c>
      <c r="O16" s="27" t="s">
        <v>22</v>
      </c>
      <c r="P16" s="28"/>
      <c r="Q16" s="28"/>
      <c r="R16" s="29" t="s">
        <v>2725</v>
      </c>
      <c r="S16" s="27" t="s">
        <v>2844</v>
      </c>
      <c r="T16" s="27"/>
    </row>
    <row r="18" spans="1:19" ht="16.5">
      <c r="A18" s="23" t="s">
        <v>583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20" ht="14.25">
      <c r="A19" s="27" t="s">
        <v>2845</v>
      </c>
      <c r="B19" s="27" t="s">
        <v>2846</v>
      </c>
      <c r="C19" s="27" t="s">
        <v>2305</v>
      </c>
      <c r="D19" s="27">
        <f>"1,0454"</f>
        <v>0</v>
      </c>
      <c r="E19" s="27" t="s">
        <v>15</v>
      </c>
      <c r="F19" s="28" t="s">
        <v>527</v>
      </c>
      <c r="G19" s="27" t="s">
        <v>527</v>
      </c>
      <c r="H19" s="27" t="s">
        <v>328</v>
      </c>
      <c r="I19" s="28"/>
      <c r="J19" s="28" t="s">
        <v>582</v>
      </c>
      <c r="K19" s="27" t="s">
        <v>463</v>
      </c>
      <c r="L19" s="27" t="s">
        <v>691</v>
      </c>
      <c r="M19" s="28"/>
      <c r="N19" s="27" t="s">
        <v>17</v>
      </c>
      <c r="O19" s="27" t="s">
        <v>29</v>
      </c>
      <c r="P19" s="27" t="s">
        <v>1226</v>
      </c>
      <c r="Q19" s="28"/>
      <c r="R19" s="29">
        <v>277.5</v>
      </c>
      <c r="S19" s="27">
        <f>"290,0985"</f>
        <v>0</v>
      </c>
      <c r="T19" s="27"/>
    </row>
    <row r="21" spans="1:19" ht="16.5">
      <c r="A21" s="23" t="s">
        <v>202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20" ht="14.25">
      <c r="A22" s="27" t="s">
        <v>2847</v>
      </c>
      <c r="B22" s="27" t="s">
        <v>2848</v>
      </c>
      <c r="C22" s="27" t="s">
        <v>2312</v>
      </c>
      <c r="D22" s="27">
        <f>"0,9916"</f>
        <v>0</v>
      </c>
      <c r="E22" s="27" t="s">
        <v>15</v>
      </c>
      <c r="F22" s="28" t="s">
        <v>16</v>
      </c>
      <c r="G22" s="28" t="s">
        <v>16</v>
      </c>
      <c r="H22" s="28" t="s">
        <v>16</v>
      </c>
      <c r="I22" s="28"/>
      <c r="J22" s="28"/>
      <c r="K22" s="28"/>
      <c r="L22" s="28"/>
      <c r="M22" s="28"/>
      <c r="N22" s="28"/>
      <c r="O22" s="28"/>
      <c r="P22" s="28"/>
      <c r="Q22" s="28"/>
      <c r="R22" s="29">
        <v>0</v>
      </c>
      <c r="S22" s="27">
        <f>"0,0000"</f>
        <v>0</v>
      </c>
      <c r="T22" s="27"/>
    </row>
    <row r="24" spans="1:19" ht="16.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20" ht="14.25">
      <c r="A25" s="16" t="s">
        <v>2849</v>
      </c>
      <c r="B25" s="16" t="s">
        <v>2850</v>
      </c>
      <c r="C25" s="16" t="s">
        <v>2851</v>
      </c>
      <c r="D25" s="16">
        <f>"0,9323"</f>
        <v>0</v>
      </c>
      <c r="E25" s="16" t="s">
        <v>15</v>
      </c>
      <c r="F25" s="18" t="s">
        <v>22</v>
      </c>
      <c r="G25" s="18" t="s">
        <v>22</v>
      </c>
      <c r="H25" s="16" t="s">
        <v>22</v>
      </c>
      <c r="I25" s="18"/>
      <c r="J25" s="16" t="s">
        <v>594</v>
      </c>
      <c r="K25" s="16" t="s">
        <v>463</v>
      </c>
      <c r="L25" s="16" t="s">
        <v>524</v>
      </c>
      <c r="M25" s="18"/>
      <c r="N25" s="16" t="s">
        <v>22</v>
      </c>
      <c r="O25" s="18" t="s">
        <v>16</v>
      </c>
      <c r="P25" s="16" t="s">
        <v>16</v>
      </c>
      <c r="Q25" s="18"/>
      <c r="R25" s="19">
        <v>250</v>
      </c>
      <c r="S25" s="16">
        <f>"233,0750"</f>
        <v>0</v>
      </c>
      <c r="T25" s="16"/>
    </row>
    <row r="26" spans="1:20" ht="14.25">
      <c r="A26" s="20" t="s">
        <v>2852</v>
      </c>
      <c r="B26" s="20" t="s">
        <v>2853</v>
      </c>
      <c r="C26" s="20" t="s">
        <v>2854</v>
      </c>
      <c r="D26" s="20">
        <f>"0,9028"</f>
        <v>0</v>
      </c>
      <c r="E26" s="20" t="s">
        <v>15</v>
      </c>
      <c r="F26" s="20" t="s">
        <v>16</v>
      </c>
      <c r="G26" s="20" t="s">
        <v>217</v>
      </c>
      <c r="H26" s="21" t="s">
        <v>17</v>
      </c>
      <c r="I26" s="21"/>
      <c r="J26" s="21" t="s">
        <v>463</v>
      </c>
      <c r="K26" s="21" t="s">
        <v>463</v>
      </c>
      <c r="L26" s="20" t="s">
        <v>463</v>
      </c>
      <c r="M26" s="21"/>
      <c r="N26" s="20" t="s">
        <v>30</v>
      </c>
      <c r="O26" s="20" t="s">
        <v>62</v>
      </c>
      <c r="P26" s="20" t="s">
        <v>36</v>
      </c>
      <c r="Q26" s="21"/>
      <c r="R26" s="22">
        <v>300</v>
      </c>
      <c r="S26" s="20">
        <f>"270,8400"</f>
        <v>0</v>
      </c>
      <c r="T26" s="20"/>
    </row>
    <row r="28" spans="1:19" ht="16.5">
      <c r="A28" s="23" t="s">
        <v>25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20" ht="14.25">
      <c r="A29" s="27" t="s">
        <v>2855</v>
      </c>
      <c r="B29" s="27" t="s">
        <v>2856</v>
      </c>
      <c r="C29" s="27" t="s">
        <v>2857</v>
      </c>
      <c r="D29" s="27">
        <f>"0,8978"</f>
        <v>0</v>
      </c>
      <c r="E29" s="27" t="s">
        <v>15</v>
      </c>
      <c r="F29" s="28" t="s">
        <v>17</v>
      </c>
      <c r="G29" s="27" t="s">
        <v>17</v>
      </c>
      <c r="H29" s="28" t="s">
        <v>29</v>
      </c>
      <c r="I29" s="28"/>
      <c r="J29" s="27" t="s">
        <v>691</v>
      </c>
      <c r="K29" s="28" t="s">
        <v>540</v>
      </c>
      <c r="L29" s="28" t="s">
        <v>540</v>
      </c>
      <c r="M29" s="28"/>
      <c r="N29" s="27" t="s">
        <v>35</v>
      </c>
      <c r="O29" s="27" t="s">
        <v>206</v>
      </c>
      <c r="P29" s="28" t="s">
        <v>633</v>
      </c>
      <c r="Q29" s="28"/>
      <c r="R29" s="29">
        <v>307.5</v>
      </c>
      <c r="S29" s="27">
        <f>"276,0581"</f>
        <v>0</v>
      </c>
      <c r="T29" s="27"/>
    </row>
    <row r="31" spans="1:19" ht="16.5">
      <c r="A31" s="23" t="s">
        <v>49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20" ht="14.25">
      <c r="A32" s="16" t="s">
        <v>2858</v>
      </c>
      <c r="B32" s="16" t="s">
        <v>2859</v>
      </c>
      <c r="C32" s="16" t="s">
        <v>2062</v>
      </c>
      <c r="D32" s="16">
        <f>"0,8267"</f>
        <v>0</v>
      </c>
      <c r="E32" s="16" t="s">
        <v>15</v>
      </c>
      <c r="F32" s="16" t="s">
        <v>22</v>
      </c>
      <c r="G32" s="16" t="s">
        <v>24</v>
      </c>
      <c r="H32" s="16" t="s">
        <v>16</v>
      </c>
      <c r="I32" s="18"/>
      <c r="J32" s="16" t="s">
        <v>594</v>
      </c>
      <c r="K32" s="18" t="s">
        <v>463</v>
      </c>
      <c r="L32" s="18" t="s">
        <v>463</v>
      </c>
      <c r="M32" s="18"/>
      <c r="N32" s="16" t="s">
        <v>16</v>
      </c>
      <c r="O32" s="16" t="s">
        <v>17</v>
      </c>
      <c r="P32" s="16" t="s">
        <v>18</v>
      </c>
      <c r="Q32" s="18"/>
      <c r="R32" s="19">
        <v>215</v>
      </c>
      <c r="S32" s="16">
        <f>"177,7298"</f>
        <v>0</v>
      </c>
      <c r="T32" s="16"/>
    </row>
    <row r="33" spans="1:20" ht="14.25">
      <c r="A33" s="20" t="s">
        <v>2860</v>
      </c>
      <c r="B33" s="20" t="s">
        <v>2861</v>
      </c>
      <c r="C33" s="20" t="s">
        <v>2054</v>
      </c>
      <c r="D33" s="20">
        <f>"0,7950"</f>
        <v>0</v>
      </c>
      <c r="E33" s="20" t="s">
        <v>15</v>
      </c>
      <c r="F33" s="20" t="s">
        <v>16</v>
      </c>
      <c r="G33" s="21" t="s">
        <v>17</v>
      </c>
      <c r="H33" s="21" t="s">
        <v>17</v>
      </c>
      <c r="I33" s="21"/>
      <c r="J33" s="20" t="s">
        <v>1566</v>
      </c>
      <c r="K33" s="20" t="s">
        <v>691</v>
      </c>
      <c r="L33" s="21" t="s">
        <v>547</v>
      </c>
      <c r="M33" s="21"/>
      <c r="N33" s="20" t="s">
        <v>30</v>
      </c>
      <c r="O33" s="20" t="s">
        <v>36</v>
      </c>
      <c r="P33" s="21" t="s">
        <v>54</v>
      </c>
      <c r="Q33" s="21"/>
      <c r="R33" s="22">
        <v>205</v>
      </c>
      <c r="S33" s="20">
        <f>"162,9648"</f>
        <v>0</v>
      </c>
      <c r="T33" s="20"/>
    </row>
    <row r="35" spans="1:19" ht="16.5">
      <c r="A35" s="23" t="s">
        <v>202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20" ht="14.25">
      <c r="A36" s="27" t="s">
        <v>2862</v>
      </c>
      <c r="B36" s="27" t="s">
        <v>2863</v>
      </c>
      <c r="C36" s="27" t="s">
        <v>2310</v>
      </c>
      <c r="D36" s="27">
        <f>"0,8453"</f>
        <v>0</v>
      </c>
      <c r="E36" s="27" t="s">
        <v>562</v>
      </c>
      <c r="F36" s="27" t="s">
        <v>22</v>
      </c>
      <c r="G36" s="28" t="s">
        <v>16</v>
      </c>
      <c r="H36" s="28" t="s">
        <v>16</v>
      </c>
      <c r="I36" s="28"/>
      <c r="J36" s="27" t="s">
        <v>524</v>
      </c>
      <c r="K36" s="27" t="s">
        <v>547</v>
      </c>
      <c r="L36" s="28" t="s">
        <v>540</v>
      </c>
      <c r="M36" s="28"/>
      <c r="N36" s="27" t="s">
        <v>54</v>
      </c>
      <c r="O36" s="27" t="s">
        <v>486</v>
      </c>
      <c r="P36" s="28" t="s">
        <v>92</v>
      </c>
      <c r="Q36" s="28"/>
      <c r="R36" s="29" t="s">
        <v>1466</v>
      </c>
      <c r="S36" s="27" t="s">
        <v>2864</v>
      </c>
      <c r="T36" s="27"/>
    </row>
    <row r="38" spans="1:19" ht="16.5">
      <c r="A38" s="23" t="s">
        <v>11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20" ht="14.25">
      <c r="A39" s="27" t="s">
        <v>2865</v>
      </c>
      <c r="B39" s="27" t="s">
        <v>2866</v>
      </c>
      <c r="C39" s="27" t="s">
        <v>2851</v>
      </c>
      <c r="D39" s="27">
        <f>"0,7786"</f>
        <v>0</v>
      </c>
      <c r="E39" s="27" t="s">
        <v>2867</v>
      </c>
      <c r="F39" s="28" t="s">
        <v>527</v>
      </c>
      <c r="G39" s="27" t="s">
        <v>527</v>
      </c>
      <c r="H39" s="28"/>
      <c r="I39" s="28"/>
      <c r="J39" s="28"/>
      <c r="K39" s="27" t="s">
        <v>524</v>
      </c>
      <c r="L39" s="28"/>
      <c r="M39" s="28"/>
      <c r="N39" s="27" t="s">
        <v>36</v>
      </c>
      <c r="O39" s="28"/>
      <c r="P39" s="28"/>
      <c r="Q39" s="28"/>
      <c r="R39" s="29">
        <v>280</v>
      </c>
      <c r="S39" s="27">
        <f>"218,0080"</f>
        <v>0</v>
      </c>
      <c r="T39" s="27"/>
    </row>
    <row r="41" spans="1:19" ht="16.5">
      <c r="A41" s="23" t="s">
        <v>25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20" ht="14.25">
      <c r="A42" s="16" t="s">
        <v>2868</v>
      </c>
      <c r="B42" s="16" t="s">
        <v>2869</v>
      </c>
      <c r="C42" s="16" t="s">
        <v>2870</v>
      </c>
      <c r="D42" s="16">
        <f>"0,7164"</f>
        <v>0</v>
      </c>
      <c r="E42" s="16" t="s">
        <v>2871</v>
      </c>
      <c r="F42" s="18" t="s">
        <v>87</v>
      </c>
      <c r="G42" s="16" t="s">
        <v>87</v>
      </c>
      <c r="H42" s="16" t="s">
        <v>88</v>
      </c>
      <c r="I42" s="18"/>
      <c r="J42" s="16" t="s">
        <v>36</v>
      </c>
      <c r="K42" s="16" t="s">
        <v>120</v>
      </c>
      <c r="L42" s="18" t="s">
        <v>54</v>
      </c>
      <c r="M42" s="18"/>
      <c r="N42" s="16" t="s">
        <v>41</v>
      </c>
      <c r="O42" s="16" t="s">
        <v>42</v>
      </c>
      <c r="P42" s="18" t="s">
        <v>68</v>
      </c>
      <c r="Q42" s="18"/>
      <c r="R42" s="19">
        <v>605</v>
      </c>
      <c r="S42" s="16">
        <f>"433,4522"</f>
        <v>0</v>
      </c>
      <c r="T42" s="16"/>
    </row>
    <row r="43" spans="1:20" ht="14.25">
      <c r="A43" s="20" t="s">
        <v>2872</v>
      </c>
      <c r="B43" s="20" t="s">
        <v>2873</v>
      </c>
      <c r="C43" s="20" t="s">
        <v>222</v>
      </c>
      <c r="D43" s="20">
        <f>"0,6934"</f>
        <v>0</v>
      </c>
      <c r="E43" s="20" t="s">
        <v>15</v>
      </c>
      <c r="F43" s="21" t="s">
        <v>486</v>
      </c>
      <c r="G43" s="21" t="s">
        <v>486</v>
      </c>
      <c r="H43" s="21" t="s">
        <v>486</v>
      </c>
      <c r="I43" s="21"/>
      <c r="J43" s="21"/>
      <c r="K43" s="21"/>
      <c r="L43" s="21"/>
      <c r="M43" s="21"/>
      <c r="N43" s="21"/>
      <c r="O43" s="21"/>
      <c r="P43" s="21"/>
      <c r="Q43" s="21"/>
      <c r="R43" s="22">
        <v>0</v>
      </c>
      <c r="S43" s="20">
        <f>"0,0000"</f>
        <v>0</v>
      </c>
      <c r="T43" s="20"/>
    </row>
    <row r="45" spans="1:19" ht="16.5">
      <c r="A45" s="23" t="s">
        <v>49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20" ht="14.25">
      <c r="A46" s="16" t="s">
        <v>2691</v>
      </c>
      <c r="B46" s="16" t="s">
        <v>2692</v>
      </c>
      <c r="C46" s="16" t="s">
        <v>2874</v>
      </c>
      <c r="D46" s="16">
        <f>"0,6573"</f>
        <v>0</v>
      </c>
      <c r="E46" s="16" t="s">
        <v>15</v>
      </c>
      <c r="F46" s="16" t="s">
        <v>17</v>
      </c>
      <c r="G46" s="16" t="s">
        <v>29</v>
      </c>
      <c r="H46" s="16" t="s">
        <v>62</v>
      </c>
      <c r="I46" s="18"/>
      <c r="J46" s="16" t="s">
        <v>527</v>
      </c>
      <c r="K46" s="16" t="s">
        <v>23</v>
      </c>
      <c r="L46" s="16" t="s">
        <v>516</v>
      </c>
      <c r="M46" s="18"/>
      <c r="N46" s="16" t="s">
        <v>36</v>
      </c>
      <c r="O46" s="16" t="s">
        <v>486</v>
      </c>
      <c r="P46" s="16" t="s">
        <v>93</v>
      </c>
      <c r="Q46" s="18"/>
      <c r="R46" s="19">
        <v>412.5</v>
      </c>
      <c r="S46" s="16">
        <f>"271,1362"</f>
        <v>0</v>
      </c>
      <c r="T46" s="16"/>
    </row>
    <row r="47" spans="1:20" ht="14.25">
      <c r="A47" s="24" t="s">
        <v>2875</v>
      </c>
      <c r="B47" s="24" t="s">
        <v>2876</v>
      </c>
      <c r="C47" s="24" t="s">
        <v>239</v>
      </c>
      <c r="D47" s="24">
        <f>"0,6451"</f>
        <v>0</v>
      </c>
      <c r="E47" s="24" t="s">
        <v>15</v>
      </c>
      <c r="F47" s="24" t="s">
        <v>486</v>
      </c>
      <c r="G47" s="24" t="s">
        <v>93</v>
      </c>
      <c r="H47" s="24" t="s">
        <v>47</v>
      </c>
      <c r="I47" s="25"/>
      <c r="J47" s="24" t="s">
        <v>22</v>
      </c>
      <c r="K47" s="24" t="s">
        <v>16</v>
      </c>
      <c r="L47" s="24" t="s">
        <v>17</v>
      </c>
      <c r="M47" s="25"/>
      <c r="N47" s="24" t="s">
        <v>87</v>
      </c>
      <c r="O47" s="24" t="s">
        <v>74</v>
      </c>
      <c r="P47" s="25" t="s">
        <v>83</v>
      </c>
      <c r="Q47" s="25"/>
      <c r="R47" s="26">
        <v>505</v>
      </c>
      <c r="S47" s="24">
        <f>"325,7755"</f>
        <v>0</v>
      </c>
      <c r="T47" s="24"/>
    </row>
    <row r="48" spans="1:20" ht="14.25">
      <c r="A48" s="24" t="s">
        <v>2877</v>
      </c>
      <c r="B48" s="24" t="s">
        <v>2878</v>
      </c>
      <c r="C48" s="24" t="s">
        <v>1810</v>
      </c>
      <c r="D48" s="24">
        <f>"0,6477"</f>
        <v>0</v>
      </c>
      <c r="E48" s="24" t="s">
        <v>15</v>
      </c>
      <c r="F48" s="24" t="s">
        <v>131</v>
      </c>
      <c r="G48" s="24" t="s">
        <v>87</v>
      </c>
      <c r="H48" s="24" t="s">
        <v>73</v>
      </c>
      <c r="I48" s="25"/>
      <c r="J48" s="24" t="s">
        <v>30</v>
      </c>
      <c r="K48" s="24" t="s">
        <v>62</v>
      </c>
      <c r="L48" s="25" t="s">
        <v>36</v>
      </c>
      <c r="M48" s="25"/>
      <c r="N48" s="24" t="s">
        <v>88</v>
      </c>
      <c r="O48" s="24" t="s">
        <v>40</v>
      </c>
      <c r="P48" s="24" t="s">
        <v>294</v>
      </c>
      <c r="Q48" s="25"/>
      <c r="R48" s="26">
        <v>567.5</v>
      </c>
      <c r="S48" s="24">
        <f>"367,5414"</f>
        <v>0</v>
      </c>
      <c r="T48" s="24"/>
    </row>
    <row r="49" spans="1:20" ht="14.25">
      <c r="A49" s="20" t="s">
        <v>2879</v>
      </c>
      <c r="B49" s="20" t="s">
        <v>2880</v>
      </c>
      <c r="C49" s="20" t="s">
        <v>1036</v>
      </c>
      <c r="D49" s="20">
        <f>"0,6801"</f>
        <v>0</v>
      </c>
      <c r="E49" s="20" t="s">
        <v>15</v>
      </c>
      <c r="F49" s="20" t="s">
        <v>626</v>
      </c>
      <c r="G49" s="20" t="s">
        <v>812</v>
      </c>
      <c r="H49" s="21" t="s">
        <v>240</v>
      </c>
      <c r="I49" s="21"/>
      <c r="J49" s="20" t="s">
        <v>218</v>
      </c>
      <c r="K49" s="21" t="s">
        <v>18</v>
      </c>
      <c r="L49" s="21" t="s">
        <v>18</v>
      </c>
      <c r="M49" s="21"/>
      <c r="N49" s="20" t="s">
        <v>87</v>
      </c>
      <c r="O49" s="20" t="s">
        <v>73</v>
      </c>
      <c r="P49" s="21" t="s">
        <v>792</v>
      </c>
      <c r="Q49" s="21"/>
      <c r="R49" s="22">
        <v>387.5</v>
      </c>
      <c r="S49" s="20">
        <f>"263,5205"</f>
        <v>0</v>
      </c>
      <c r="T49" s="20"/>
    </row>
    <row r="51" spans="1:19" ht="16.5">
      <c r="A51" s="23" t="s">
        <v>63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20" ht="14.25">
      <c r="A52" s="16" t="s">
        <v>2881</v>
      </c>
      <c r="B52" s="16" t="s">
        <v>2882</v>
      </c>
      <c r="C52" s="16" t="s">
        <v>1823</v>
      </c>
      <c r="D52" s="16">
        <f>"0,6169"</f>
        <v>0</v>
      </c>
      <c r="E52" s="16" t="s">
        <v>15</v>
      </c>
      <c r="F52" s="16" t="s">
        <v>131</v>
      </c>
      <c r="G52" s="18" t="s">
        <v>87</v>
      </c>
      <c r="H52" s="16" t="s">
        <v>87</v>
      </c>
      <c r="I52" s="18"/>
      <c r="J52" s="16" t="s">
        <v>30</v>
      </c>
      <c r="K52" s="16" t="s">
        <v>62</v>
      </c>
      <c r="L52" s="18" t="s">
        <v>36</v>
      </c>
      <c r="M52" s="18"/>
      <c r="N52" s="16" t="s">
        <v>74</v>
      </c>
      <c r="O52" s="16" t="s">
        <v>83</v>
      </c>
      <c r="P52" s="16" t="s">
        <v>41</v>
      </c>
      <c r="Q52" s="16" t="s">
        <v>1018</v>
      </c>
      <c r="R52" s="19">
        <v>575</v>
      </c>
      <c r="S52" s="16">
        <f>"354,6888"</f>
        <v>0</v>
      </c>
      <c r="T52" s="16"/>
    </row>
    <row r="53" spans="1:20" ht="14.25">
      <c r="A53" s="24" t="s">
        <v>2883</v>
      </c>
      <c r="B53" s="24" t="s">
        <v>2884</v>
      </c>
      <c r="C53" s="24" t="s">
        <v>428</v>
      </c>
      <c r="D53" s="24">
        <f>"0,6122"</f>
        <v>0</v>
      </c>
      <c r="E53" s="24" t="s">
        <v>15</v>
      </c>
      <c r="F53" s="24" t="s">
        <v>131</v>
      </c>
      <c r="G53" s="24" t="s">
        <v>87</v>
      </c>
      <c r="H53" s="24" t="s">
        <v>88</v>
      </c>
      <c r="I53" s="25"/>
      <c r="J53" s="24" t="s">
        <v>54</v>
      </c>
      <c r="K53" s="24" t="s">
        <v>246</v>
      </c>
      <c r="L53" s="25" t="s">
        <v>486</v>
      </c>
      <c r="M53" s="25"/>
      <c r="N53" s="24" t="s">
        <v>54</v>
      </c>
      <c r="O53" s="24" t="s">
        <v>429</v>
      </c>
      <c r="P53" s="24" t="s">
        <v>42</v>
      </c>
      <c r="Q53" s="25"/>
      <c r="R53" s="26">
        <v>615</v>
      </c>
      <c r="S53" s="24">
        <f>"376,5337"</f>
        <v>0</v>
      </c>
      <c r="T53" s="24" t="s">
        <v>2885</v>
      </c>
    </row>
    <row r="54" spans="1:20" ht="14.25">
      <c r="A54" s="24" t="s">
        <v>2886</v>
      </c>
      <c r="B54" s="24" t="s">
        <v>2887</v>
      </c>
      <c r="C54" s="24" t="s">
        <v>2888</v>
      </c>
      <c r="D54" s="24">
        <f>"0,6137"</f>
        <v>0</v>
      </c>
      <c r="E54" s="24" t="s">
        <v>15</v>
      </c>
      <c r="F54" s="25" t="s">
        <v>87</v>
      </c>
      <c r="G54" s="24" t="s">
        <v>87</v>
      </c>
      <c r="H54" s="24" t="s">
        <v>73</v>
      </c>
      <c r="I54" s="25"/>
      <c r="J54" s="24" t="s">
        <v>672</v>
      </c>
      <c r="K54" s="24" t="s">
        <v>54</v>
      </c>
      <c r="L54" s="24" t="s">
        <v>678</v>
      </c>
      <c r="M54" s="25"/>
      <c r="N54" s="24" t="s">
        <v>41</v>
      </c>
      <c r="O54" s="24" t="s">
        <v>42</v>
      </c>
      <c r="P54" s="25" t="s">
        <v>1074</v>
      </c>
      <c r="Q54" s="25"/>
      <c r="R54" s="26">
        <v>607.5</v>
      </c>
      <c r="S54" s="24">
        <f>"372,8531"</f>
        <v>0</v>
      </c>
      <c r="T54" s="24"/>
    </row>
    <row r="55" spans="1:20" ht="14.25">
      <c r="A55" s="24" t="s">
        <v>2889</v>
      </c>
      <c r="B55" s="24" t="s">
        <v>2890</v>
      </c>
      <c r="C55" s="24" t="s">
        <v>1052</v>
      </c>
      <c r="D55" s="24">
        <f>"0,6188"</f>
        <v>0</v>
      </c>
      <c r="E55" s="24" t="s">
        <v>15</v>
      </c>
      <c r="F55" s="24" t="s">
        <v>83</v>
      </c>
      <c r="G55" s="25" t="s">
        <v>316</v>
      </c>
      <c r="H55" s="25" t="s">
        <v>316</v>
      </c>
      <c r="I55" s="25"/>
      <c r="J55" s="24" t="s">
        <v>62</v>
      </c>
      <c r="K55" s="24" t="s">
        <v>36</v>
      </c>
      <c r="L55" s="24" t="s">
        <v>120</v>
      </c>
      <c r="M55" s="25"/>
      <c r="N55" s="24" t="s">
        <v>40</v>
      </c>
      <c r="O55" s="25"/>
      <c r="P55" s="25"/>
      <c r="Q55" s="25"/>
      <c r="R55" s="26">
        <v>590</v>
      </c>
      <c r="S55" s="24">
        <f>"365,1215"</f>
        <v>0</v>
      </c>
      <c r="T55" s="24"/>
    </row>
    <row r="56" spans="1:20" ht="14.25">
      <c r="A56" s="24" t="s">
        <v>2891</v>
      </c>
      <c r="B56" s="24" t="s">
        <v>2892</v>
      </c>
      <c r="C56" s="24" t="s">
        <v>1292</v>
      </c>
      <c r="D56" s="24">
        <f>"0,6217"</f>
        <v>0</v>
      </c>
      <c r="E56" s="24" t="s">
        <v>15</v>
      </c>
      <c r="F56" s="25" t="s">
        <v>131</v>
      </c>
      <c r="G56" s="24" t="s">
        <v>212</v>
      </c>
      <c r="H56" s="25" t="s">
        <v>73</v>
      </c>
      <c r="I56" s="25"/>
      <c r="J56" s="25" t="s">
        <v>29</v>
      </c>
      <c r="K56" s="24" t="s">
        <v>29</v>
      </c>
      <c r="L56" s="24" t="s">
        <v>35</v>
      </c>
      <c r="M56" s="25"/>
      <c r="N56" s="24" t="s">
        <v>40</v>
      </c>
      <c r="O56" s="24" t="s">
        <v>316</v>
      </c>
      <c r="P56" s="24" t="s">
        <v>41</v>
      </c>
      <c r="Q56" s="25"/>
      <c r="R56" s="26">
        <v>560</v>
      </c>
      <c r="S56" s="24">
        <f>"348,1800"</f>
        <v>0</v>
      </c>
      <c r="T56" s="24"/>
    </row>
    <row r="57" spans="1:20" ht="14.25">
      <c r="A57" s="24" t="s">
        <v>2893</v>
      </c>
      <c r="B57" s="24" t="s">
        <v>2894</v>
      </c>
      <c r="C57" s="24" t="s">
        <v>2895</v>
      </c>
      <c r="D57" s="24">
        <f>"0,6411"</f>
        <v>0</v>
      </c>
      <c r="E57" s="24" t="s">
        <v>15</v>
      </c>
      <c r="F57" s="24" t="s">
        <v>120</v>
      </c>
      <c r="G57" s="24" t="s">
        <v>246</v>
      </c>
      <c r="H57" s="24" t="s">
        <v>92</v>
      </c>
      <c r="I57" s="25"/>
      <c r="J57" s="24" t="s">
        <v>22</v>
      </c>
      <c r="K57" s="24" t="s">
        <v>16</v>
      </c>
      <c r="L57" s="25" t="s">
        <v>17</v>
      </c>
      <c r="M57" s="25"/>
      <c r="N57" s="24" t="s">
        <v>47</v>
      </c>
      <c r="O57" s="24" t="s">
        <v>131</v>
      </c>
      <c r="P57" s="25" t="s">
        <v>87</v>
      </c>
      <c r="Q57" s="25"/>
      <c r="R57" s="26">
        <v>455</v>
      </c>
      <c r="S57" s="24">
        <f>"291,7005"</f>
        <v>0</v>
      </c>
      <c r="T57" s="24"/>
    </row>
    <row r="58" spans="1:20" ht="14.25">
      <c r="A58" s="24" t="s">
        <v>2889</v>
      </c>
      <c r="B58" s="24" t="s">
        <v>2896</v>
      </c>
      <c r="C58" s="24" t="s">
        <v>1052</v>
      </c>
      <c r="D58" s="24">
        <f>"0,7327"</f>
        <v>0</v>
      </c>
      <c r="E58" s="24" t="s">
        <v>15</v>
      </c>
      <c r="F58" s="24" t="s">
        <v>83</v>
      </c>
      <c r="G58" s="25" t="s">
        <v>316</v>
      </c>
      <c r="H58" s="25" t="s">
        <v>316</v>
      </c>
      <c r="I58" s="25"/>
      <c r="J58" s="24" t="s">
        <v>62</v>
      </c>
      <c r="K58" s="24" t="s">
        <v>36</v>
      </c>
      <c r="L58" s="24" t="s">
        <v>120</v>
      </c>
      <c r="M58" s="25"/>
      <c r="N58" s="24" t="s">
        <v>40</v>
      </c>
      <c r="O58" s="24" t="s">
        <v>78</v>
      </c>
      <c r="P58" s="25" t="s">
        <v>41</v>
      </c>
      <c r="Q58" s="25"/>
      <c r="R58" s="26">
        <v>600</v>
      </c>
      <c r="S58" s="24">
        <f>"439,6310"</f>
        <v>0</v>
      </c>
      <c r="T58" s="24"/>
    </row>
    <row r="59" spans="1:20" ht="14.25">
      <c r="A59" s="20" t="s">
        <v>2897</v>
      </c>
      <c r="B59" s="20" t="s">
        <v>2898</v>
      </c>
      <c r="C59" s="20" t="s">
        <v>1830</v>
      </c>
      <c r="D59" s="20">
        <f>"0,7958"</f>
        <v>0</v>
      </c>
      <c r="E59" s="20" t="s">
        <v>15</v>
      </c>
      <c r="F59" s="20" t="s">
        <v>36</v>
      </c>
      <c r="G59" s="20" t="s">
        <v>672</v>
      </c>
      <c r="H59" s="21" t="s">
        <v>678</v>
      </c>
      <c r="I59" s="21"/>
      <c r="J59" s="20" t="s">
        <v>328</v>
      </c>
      <c r="K59" s="20" t="s">
        <v>22</v>
      </c>
      <c r="L59" s="21" t="s">
        <v>693</v>
      </c>
      <c r="M59" s="21"/>
      <c r="N59" s="20" t="s">
        <v>246</v>
      </c>
      <c r="O59" s="20" t="s">
        <v>1347</v>
      </c>
      <c r="P59" s="21" t="s">
        <v>486</v>
      </c>
      <c r="Q59" s="21"/>
      <c r="R59" s="22">
        <v>395</v>
      </c>
      <c r="S59" s="20">
        <f>"314,3556"</f>
        <v>0</v>
      </c>
      <c r="T59" s="20"/>
    </row>
    <row r="61" spans="1:19" ht="16.5">
      <c r="A61" s="23" t="s">
        <v>69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20" ht="14.25">
      <c r="A62" s="16" t="s">
        <v>2252</v>
      </c>
      <c r="B62" s="16" t="s">
        <v>2253</v>
      </c>
      <c r="C62" s="16" t="s">
        <v>770</v>
      </c>
      <c r="D62" s="16">
        <f>"0,5917"</f>
        <v>0</v>
      </c>
      <c r="E62" s="16" t="s">
        <v>15</v>
      </c>
      <c r="F62" s="16" t="s">
        <v>36</v>
      </c>
      <c r="G62" s="16" t="s">
        <v>246</v>
      </c>
      <c r="H62" s="18" t="s">
        <v>486</v>
      </c>
      <c r="I62" s="18"/>
      <c r="J62" s="18" t="s">
        <v>540</v>
      </c>
      <c r="K62" s="16" t="s">
        <v>527</v>
      </c>
      <c r="L62" s="16" t="s">
        <v>23</v>
      </c>
      <c r="M62" s="18"/>
      <c r="N62" s="16" t="s">
        <v>36</v>
      </c>
      <c r="O62" s="16" t="s">
        <v>246</v>
      </c>
      <c r="P62" s="18" t="s">
        <v>349</v>
      </c>
      <c r="Q62" s="18"/>
      <c r="R62" s="19">
        <v>405</v>
      </c>
      <c r="S62" s="16">
        <f>"239,6183"</f>
        <v>0</v>
      </c>
      <c r="T62" s="16"/>
    </row>
    <row r="63" spans="1:20" ht="14.25">
      <c r="A63" s="24" t="s">
        <v>2899</v>
      </c>
      <c r="B63" s="24" t="s">
        <v>2900</v>
      </c>
      <c r="C63" s="24" t="s">
        <v>1621</v>
      </c>
      <c r="D63" s="24">
        <f>"0,5835"</f>
        <v>0</v>
      </c>
      <c r="E63" s="24" t="s">
        <v>15</v>
      </c>
      <c r="F63" s="24" t="s">
        <v>47</v>
      </c>
      <c r="G63" s="24" t="s">
        <v>87</v>
      </c>
      <c r="H63" s="25" t="s">
        <v>88</v>
      </c>
      <c r="I63" s="25"/>
      <c r="J63" s="24" t="s">
        <v>30</v>
      </c>
      <c r="K63" s="24" t="s">
        <v>36</v>
      </c>
      <c r="L63" s="24" t="s">
        <v>120</v>
      </c>
      <c r="M63" s="25"/>
      <c r="N63" s="24" t="s">
        <v>131</v>
      </c>
      <c r="O63" s="25" t="s">
        <v>88</v>
      </c>
      <c r="P63" s="25" t="s">
        <v>88</v>
      </c>
      <c r="Q63" s="25"/>
      <c r="R63" s="26">
        <v>345</v>
      </c>
      <c r="S63" s="24">
        <f>"201,3247"</f>
        <v>0</v>
      </c>
      <c r="T63" s="24"/>
    </row>
    <row r="64" spans="1:20" ht="14.25">
      <c r="A64" s="24" t="s">
        <v>2901</v>
      </c>
      <c r="B64" s="24" t="s">
        <v>2450</v>
      </c>
      <c r="C64" s="24" t="s">
        <v>2902</v>
      </c>
      <c r="D64" s="24">
        <f aca="true" t="shared" si="0" ref="D64:D65">"0,5885"</f>
        <v>0</v>
      </c>
      <c r="E64" s="24" t="s">
        <v>15</v>
      </c>
      <c r="F64" s="24" t="s">
        <v>429</v>
      </c>
      <c r="G64" s="24" t="s">
        <v>68</v>
      </c>
      <c r="H64" s="24" t="s">
        <v>79</v>
      </c>
      <c r="I64" s="25"/>
      <c r="J64" s="24" t="s">
        <v>46</v>
      </c>
      <c r="K64" s="24" t="s">
        <v>47</v>
      </c>
      <c r="L64" s="25" t="s">
        <v>131</v>
      </c>
      <c r="M64" s="25"/>
      <c r="N64" s="24" t="s">
        <v>42</v>
      </c>
      <c r="O64" s="24" t="s">
        <v>282</v>
      </c>
      <c r="P64" s="25" t="s">
        <v>283</v>
      </c>
      <c r="Q64" s="25"/>
      <c r="R64" s="26">
        <v>715</v>
      </c>
      <c r="S64" s="24">
        <f>"420,8132"</f>
        <v>0</v>
      </c>
      <c r="T64" s="24"/>
    </row>
    <row r="65" spans="1:20" ht="14.25">
      <c r="A65" s="24" t="s">
        <v>2903</v>
      </c>
      <c r="B65" s="24" t="s">
        <v>2904</v>
      </c>
      <c r="C65" s="24" t="s">
        <v>2902</v>
      </c>
      <c r="D65" s="24">
        <f t="shared" si="0"/>
        <v>0</v>
      </c>
      <c r="E65" s="24" t="s">
        <v>15</v>
      </c>
      <c r="F65" s="24" t="s">
        <v>88</v>
      </c>
      <c r="G65" s="24" t="s">
        <v>40</v>
      </c>
      <c r="H65" s="25" t="s">
        <v>78</v>
      </c>
      <c r="I65" s="25"/>
      <c r="J65" s="24" t="s">
        <v>486</v>
      </c>
      <c r="K65" s="24" t="s">
        <v>46</v>
      </c>
      <c r="L65" s="24" t="s">
        <v>93</v>
      </c>
      <c r="M65" s="25"/>
      <c r="N65" s="24" t="s">
        <v>42</v>
      </c>
      <c r="O65" s="24" t="s">
        <v>68</v>
      </c>
      <c r="P65" s="24" t="s">
        <v>79</v>
      </c>
      <c r="Q65" s="25"/>
      <c r="R65" s="26">
        <v>665</v>
      </c>
      <c r="S65" s="24">
        <f>"391,3857"</f>
        <v>0</v>
      </c>
      <c r="T65" s="24"/>
    </row>
    <row r="66" spans="1:20" ht="14.25">
      <c r="A66" s="24" t="s">
        <v>2905</v>
      </c>
      <c r="B66" s="24" t="s">
        <v>2906</v>
      </c>
      <c r="C66" s="24" t="s">
        <v>82</v>
      </c>
      <c r="D66" s="24">
        <f>"0,5838"</f>
        <v>0</v>
      </c>
      <c r="E66" s="24" t="s">
        <v>15</v>
      </c>
      <c r="F66" s="24" t="s">
        <v>87</v>
      </c>
      <c r="G66" s="24" t="s">
        <v>88</v>
      </c>
      <c r="H66" s="24" t="s">
        <v>74</v>
      </c>
      <c r="I66" s="25"/>
      <c r="J66" s="24" t="s">
        <v>54</v>
      </c>
      <c r="K66" s="24" t="s">
        <v>486</v>
      </c>
      <c r="L66" s="25" t="s">
        <v>92</v>
      </c>
      <c r="M66" s="25"/>
      <c r="N66" s="24" t="s">
        <v>68</v>
      </c>
      <c r="O66" s="24" t="s">
        <v>79</v>
      </c>
      <c r="P66" s="25" t="s">
        <v>283</v>
      </c>
      <c r="Q66" s="25"/>
      <c r="R66" s="26">
        <v>645</v>
      </c>
      <c r="S66" s="24">
        <f>"376,5510"</f>
        <v>0</v>
      </c>
      <c r="T66" s="24"/>
    </row>
    <row r="67" spans="1:20" ht="14.25">
      <c r="A67" s="24" t="s">
        <v>2907</v>
      </c>
      <c r="B67" s="24" t="s">
        <v>2908</v>
      </c>
      <c r="C67" s="24" t="s">
        <v>1062</v>
      </c>
      <c r="D67" s="24">
        <f>"0,5871"</f>
        <v>0</v>
      </c>
      <c r="E67" s="24" t="s">
        <v>15</v>
      </c>
      <c r="F67" s="24" t="s">
        <v>47</v>
      </c>
      <c r="G67" s="24" t="s">
        <v>87</v>
      </c>
      <c r="H67" s="24" t="s">
        <v>88</v>
      </c>
      <c r="I67" s="25"/>
      <c r="J67" s="24" t="s">
        <v>47</v>
      </c>
      <c r="K67" s="25" t="s">
        <v>240</v>
      </c>
      <c r="L67" s="24" t="s">
        <v>240</v>
      </c>
      <c r="M67" s="25"/>
      <c r="N67" s="24" t="s">
        <v>83</v>
      </c>
      <c r="O67" s="24" t="s">
        <v>78</v>
      </c>
      <c r="P67" s="24" t="s">
        <v>41</v>
      </c>
      <c r="Q67" s="25"/>
      <c r="R67" s="26">
        <v>635</v>
      </c>
      <c r="S67" s="24">
        <f>"372,8402"</f>
        <v>0</v>
      </c>
      <c r="T67" s="24"/>
    </row>
    <row r="68" spans="1:20" ht="14.25">
      <c r="A68" s="24" t="s">
        <v>2909</v>
      </c>
      <c r="B68" s="24" t="s">
        <v>2910</v>
      </c>
      <c r="C68" s="24" t="s">
        <v>1632</v>
      </c>
      <c r="D68" s="24">
        <f>"0,5846"</f>
        <v>0</v>
      </c>
      <c r="E68" s="24" t="s">
        <v>15</v>
      </c>
      <c r="F68" s="24" t="s">
        <v>87</v>
      </c>
      <c r="G68" s="24" t="s">
        <v>88</v>
      </c>
      <c r="H68" s="24" t="s">
        <v>40</v>
      </c>
      <c r="I68" s="25"/>
      <c r="J68" s="24" t="s">
        <v>30</v>
      </c>
      <c r="K68" s="24" t="s">
        <v>62</v>
      </c>
      <c r="L68" s="25" t="s">
        <v>633</v>
      </c>
      <c r="M68" s="25"/>
      <c r="N68" s="24" t="s">
        <v>41</v>
      </c>
      <c r="O68" s="24" t="s">
        <v>42</v>
      </c>
      <c r="P68" s="24" t="s">
        <v>68</v>
      </c>
      <c r="Q68" s="25"/>
      <c r="R68" s="26">
        <v>615</v>
      </c>
      <c r="S68" s="24">
        <f>"359,4983"</f>
        <v>0</v>
      </c>
      <c r="T68" s="24"/>
    </row>
    <row r="69" spans="1:20" ht="14.25">
      <c r="A69" s="24" t="s">
        <v>2911</v>
      </c>
      <c r="B69" s="24" t="s">
        <v>2912</v>
      </c>
      <c r="C69" s="24" t="s">
        <v>1850</v>
      </c>
      <c r="D69" s="24">
        <f>"0,5984"</f>
        <v>0</v>
      </c>
      <c r="E69" s="24" t="s">
        <v>15</v>
      </c>
      <c r="F69" s="24" t="s">
        <v>46</v>
      </c>
      <c r="G69" s="25" t="s">
        <v>47</v>
      </c>
      <c r="H69" s="25" t="s">
        <v>47</v>
      </c>
      <c r="I69" s="25"/>
      <c r="J69" s="24" t="s">
        <v>30</v>
      </c>
      <c r="K69" s="25" t="s">
        <v>774</v>
      </c>
      <c r="L69" s="25" t="s">
        <v>774</v>
      </c>
      <c r="M69" s="25"/>
      <c r="N69" s="24" t="s">
        <v>88</v>
      </c>
      <c r="O69" s="25" t="s">
        <v>83</v>
      </c>
      <c r="P69" s="25" t="s">
        <v>83</v>
      </c>
      <c r="Q69" s="25"/>
      <c r="R69" s="26" t="s">
        <v>2913</v>
      </c>
      <c r="S69" s="24" t="s">
        <v>2914</v>
      </c>
      <c r="T69" s="24"/>
    </row>
    <row r="70" spans="1:20" ht="14.25">
      <c r="A70" s="20" t="s">
        <v>2915</v>
      </c>
      <c r="B70" s="20" t="s">
        <v>2916</v>
      </c>
      <c r="C70" s="20" t="s">
        <v>2917</v>
      </c>
      <c r="D70" s="20">
        <f>"0,6154"</f>
        <v>0</v>
      </c>
      <c r="E70" s="20" t="s">
        <v>15</v>
      </c>
      <c r="F70" s="20" t="s">
        <v>40</v>
      </c>
      <c r="G70" s="20" t="s">
        <v>78</v>
      </c>
      <c r="H70" s="21" t="s">
        <v>219</v>
      </c>
      <c r="I70" s="21"/>
      <c r="J70" s="20" t="s">
        <v>30</v>
      </c>
      <c r="K70" s="20" t="s">
        <v>36</v>
      </c>
      <c r="L70" s="20" t="s">
        <v>120</v>
      </c>
      <c r="M70" s="21"/>
      <c r="N70" s="20" t="s">
        <v>41</v>
      </c>
      <c r="O70" s="20" t="s">
        <v>42</v>
      </c>
      <c r="P70" s="20" t="s">
        <v>337</v>
      </c>
      <c r="Q70" s="21"/>
      <c r="R70" s="22">
        <v>630</v>
      </c>
      <c r="S70" s="20">
        <f>"387,6903"</f>
        <v>0</v>
      </c>
      <c r="T70" s="20"/>
    </row>
    <row r="72" spans="1:19" ht="16.5">
      <c r="A72" s="23" t="s">
        <v>94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20" ht="14.25">
      <c r="A73" s="16" t="s">
        <v>2918</v>
      </c>
      <c r="B73" s="16" t="s">
        <v>2919</v>
      </c>
      <c r="C73" s="16" t="s">
        <v>1378</v>
      </c>
      <c r="D73" s="16">
        <f>"0,5687"</f>
        <v>0</v>
      </c>
      <c r="E73" s="16" t="s">
        <v>15</v>
      </c>
      <c r="F73" s="16" t="s">
        <v>35</v>
      </c>
      <c r="G73" s="18" t="s">
        <v>62</v>
      </c>
      <c r="H73" s="16" t="s">
        <v>120</v>
      </c>
      <c r="I73" s="18"/>
      <c r="J73" s="16" t="s">
        <v>527</v>
      </c>
      <c r="K73" s="16" t="s">
        <v>22</v>
      </c>
      <c r="L73" s="18" t="s">
        <v>23</v>
      </c>
      <c r="M73" s="18"/>
      <c r="N73" s="16" t="s">
        <v>36</v>
      </c>
      <c r="O73" s="18" t="s">
        <v>246</v>
      </c>
      <c r="P73" s="16" t="s">
        <v>246</v>
      </c>
      <c r="Q73" s="18"/>
      <c r="R73" s="19">
        <v>390</v>
      </c>
      <c r="S73" s="16">
        <f>"221,7735"</f>
        <v>0</v>
      </c>
      <c r="T73" s="16"/>
    </row>
    <row r="74" spans="1:20" ht="14.25">
      <c r="A74" s="24" t="s">
        <v>2920</v>
      </c>
      <c r="B74" s="24" t="s">
        <v>2921</v>
      </c>
      <c r="C74" s="24" t="s">
        <v>315</v>
      </c>
      <c r="D74" s="24">
        <f>"0,5748"</f>
        <v>0</v>
      </c>
      <c r="E74" s="24" t="s">
        <v>15</v>
      </c>
      <c r="F74" s="24" t="s">
        <v>233</v>
      </c>
      <c r="G74" s="25" t="s">
        <v>78</v>
      </c>
      <c r="H74" s="25" t="s">
        <v>78</v>
      </c>
      <c r="I74" s="25"/>
      <c r="J74" s="24" t="s">
        <v>246</v>
      </c>
      <c r="K74" s="24" t="s">
        <v>486</v>
      </c>
      <c r="L74" s="25" t="s">
        <v>92</v>
      </c>
      <c r="M74" s="25"/>
      <c r="N74" s="24" t="s">
        <v>42</v>
      </c>
      <c r="O74" s="24" t="s">
        <v>68</v>
      </c>
      <c r="P74" s="25" t="s">
        <v>2922</v>
      </c>
      <c r="Q74" s="25"/>
      <c r="R74" s="26">
        <v>642.5</v>
      </c>
      <c r="S74" s="24">
        <f>"369,3090"</f>
        <v>0</v>
      </c>
      <c r="T74" s="24"/>
    </row>
    <row r="75" spans="1:20" ht="14.25">
      <c r="A75" s="24" t="s">
        <v>2923</v>
      </c>
      <c r="B75" s="24" t="s">
        <v>2924</v>
      </c>
      <c r="C75" s="24" t="s">
        <v>297</v>
      </c>
      <c r="D75" s="24">
        <f>"0,5650"</f>
        <v>0</v>
      </c>
      <c r="E75" s="24" t="s">
        <v>15</v>
      </c>
      <c r="F75" s="24" t="s">
        <v>73</v>
      </c>
      <c r="G75" s="25" t="s">
        <v>74</v>
      </c>
      <c r="H75" s="24" t="s">
        <v>74</v>
      </c>
      <c r="I75" s="25"/>
      <c r="J75" s="24" t="s">
        <v>774</v>
      </c>
      <c r="K75" s="25" t="s">
        <v>672</v>
      </c>
      <c r="L75" s="25" t="s">
        <v>672</v>
      </c>
      <c r="M75" s="25"/>
      <c r="N75" s="24" t="s">
        <v>131</v>
      </c>
      <c r="O75" s="24" t="s">
        <v>792</v>
      </c>
      <c r="P75" s="25" t="s">
        <v>250</v>
      </c>
      <c r="Q75" s="25"/>
      <c r="R75" s="26">
        <v>565</v>
      </c>
      <c r="S75" s="24">
        <f>"319,2250"</f>
        <v>0</v>
      </c>
      <c r="T75" s="24"/>
    </row>
    <row r="76" spans="1:20" ht="14.25">
      <c r="A76" s="20" t="s">
        <v>2925</v>
      </c>
      <c r="B76" s="20" t="s">
        <v>2926</v>
      </c>
      <c r="C76" s="20" t="s">
        <v>2927</v>
      </c>
      <c r="D76" s="20">
        <f>"0,6069"</f>
        <v>0</v>
      </c>
      <c r="E76" s="20" t="s">
        <v>15</v>
      </c>
      <c r="F76" s="20" t="s">
        <v>54</v>
      </c>
      <c r="G76" s="20" t="s">
        <v>486</v>
      </c>
      <c r="H76" s="21" t="s">
        <v>46</v>
      </c>
      <c r="I76" s="21"/>
      <c r="J76" s="20" t="s">
        <v>30</v>
      </c>
      <c r="K76" s="20" t="s">
        <v>36</v>
      </c>
      <c r="L76" s="20" t="s">
        <v>54</v>
      </c>
      <c r="M76" s="21"/>
      <c r="N76" s="20" t="s">
        <v>486</v>
      </c>
      <c r="O76" s="20" t="s">
        <v>46</v>
      </c>
      <c r="P76" s="20" t="s">
        <v>131</v>
      </c>
      <c r="Q76" s="21"/>
      <c r="R76" s="22">
        <v>500</v>
      </c>
      <c r="S76" s="20">
        <f>"303,4444"</f>
        <v>0</v>
      </c>
      <c r="T76" s="20"/>
    </row>
    <row r="78" spans="1:19" ht="16.5">
      <c r="A78" s="23" t="s">
        <v>127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20" ht="14.25">
      <c r="A79" s="16" t="s">
        <v>2494</v>
      </c>
      <c r="B79" s="16" t="s">
        <v>1812</v>
      </c>
      <c r="C79" s="16" t="s">
        <v>2928</v>
      </c>
      <c r="D79" s="16">
        <f>"0,5515"</f>
        <v>0</v>
      </c>
      <c r="E79" s="16" t="s">
        <v>15</v>
      </c>
      <c r="F79" s="16" t="s">
        <v>78</v>
      </c>
      <c r="G79" s="16" t="s">
        <v>41</v>
      </c>
      <c r="H79" s="16" t="s">
        <v>429</v>
      </c>
      <c r="I79" s="18"/>
      <c r="J79" s="16" t="s">
        <v>240</v>
      </c>
      <c r="K79" s="16" t="s">
        <v>131</v>
      </c>
      <c r="L79" s="18" t="s">
        <v>620</v>
      </c>
      <c r="M79" s="18"/>
      <c r="N79" s="16" t="s">
        <v>42</v>
      </c>
      <c r="O79" s="16" t="s">
        <v>282</v>
      </c>
      <c r="P79" s="16" t="s">
        <v>283</v>
      </c>
      <c r="Q79" s="18"/>
      <c r="R79" s="19">
        <v>710</v>
      </c>
      <c r="S79" s="16">
        <f>"391,5295"</f>
        <v>0</v>
      </c>
      <c r="T79" s="16"/>
    </row>
    <row r="80" spans="1:20" ht="14.25">
      <c r="A80" s="20" t="s">
        <v>2929</v>
      </c>
      <c r="B80" s="20" t="s">
        <v>2930</v>
      </c>
      <c r="C80" s="20" t="s">
        <v>854</v>
      </c>
      <c r="D80" s="20">
        <f>"0,5510"</f>
        <v>0</v>
      </c>
      <c r="E80" s="20" t="s">
        <v>15</v>
      </c>
      <c r="F80" s="21" t="s">
        <v>40</v>
      </c>
      <c r="G80" s="21" t="s">
        <v>40</v>
      </c>
      <c r="H80" s="20" t="s">
        <v>40</v>
      </c>
      <c r="I80" s="21"/>
      <c r="J80" s="20" t="s">
        <v>54</v>
      </c>
      <c r="K80" s="20" t="s">
        <v>246</v>
      </c>
      <c r="L80" s="20" t="s">
        <v>1347</v>
      </c>
      <c r="M80" s="21"/>
      <c r="N80" s="21" t="s">
        <v>40</v>
      </c>
      <c r="O80" s="20" t="s">
        <v>40</v>
      </c>
      <c r="P80" s="20" t="s">
        <v>41</v>
      </c>
      <c r="Q80" s="21"/>
      <c r="R80" s="22">
        <v>617.5</v>
      </c>
      <c r="S80" s="20">
        <f>"340,2147"</f>
        <v>0</v>
      </c>
      <c r="T80" s="20"/>
    </row>
    <row r="82" ht="16.5">
      <c r="E82" s="30" t="s">
        <v>144</v>
      </c>
    </row>
    <row r="83" ht="16.5">
      <c r="E83" s="30" t="s">
        <v>145</v>
      </c>
    </row>
    <row r="84" ht="16.5">
      <c r="E84" s="30" t="s">
        <v>146</v>
      </c>
    </row>
    <row r="85" ht="14.25">
      <c r="E85" s="1" t="s">
        <v>147</v>
      </c>
    </row>
    <row r="86" ht="14.25">
      <c r="E86" s="1" t="s">
        <v>148</v>
      </c>
    </row>
    <row r="87" ht="14.25">
      <c r="E87" s="1" t="s">
        <v>149</v>
      </c>
    </row>
    <row r="91" spans="1:2" ht="18.75">
      <c r="A91" s="31" t="s">
        <v>150</v>
      </c>
      <c r="B91" s="31"/>
    </row>
    <row r="92" spans="1:2" ht="16.5">
      <c r="A92" s="32" t="s">
        <v>151</v>
      </c>
      <c r="B92" s="32"/>
    </row>
    <row r="93" spans="1:2" ht="15.75">
      <c r="A93" s="33" t="s">
        <v>375</v>
      </c>
      <c r="B93" s="34"/>
    </row>
    <row r="94" spans="1:5" ht="15.75">
      <c r="A94" s="35" t="s">
        <v>1</v>
      </c>
      <c r="B94" s="35" t="s">
        <v>153</v>
      </c>
      <c r="C94" s="35" t="s">
        <v>154</v>
      </c>
      <c r="D94" s="35" t="s">
        <v>7</v>
      </c>
      <c r="E94" s="35" t="s">
        <v>155</v>
      </c>
    </row>
    <row r="95" spans="1:5" ht="14.25">
      <c r="A95" s="36" t="s">
        <v>2849</v>
      </c>
      <c r="B95" s="1" t="s">
        <v>921</v>
      </c>
      <c r="C95" s="1" t="s">
        <v>158</v>
      </c>
      <c r="D95" s="1" t="s">
        <v>42</v>
      </c>
      <c r="E95" s="37" t="s">
        <v>2931</v>
      </c>
    </row>
    <row r="97" spans="1:2" ht="15.75">
      <c r="A97" s="33" t="s">
        <v>152</v>
      </c>
      <c r="B97" s="34"/>
    </row>
    <row r="98" spans="1:5" ht="15.75">
      <c r="A98" s="35" t="s">
        <v>1</v>
      </c>
      <c r="B98" s="35" t="s">
        <v>153</v>
      </c>
      <c r="C98" s="35" t="s">
        <v>154</v>
      </c>
      <c r="D98" s="35" t="s">
        <v>7</v>
      </c>
      <c r="E98" s="35" t="s">
        <v>155</v>
      </c>
    </row>
    <row r="99" spans="1:5" ht="14.25">
      <c r="A99" s="36" t="s">
        <v>2834</v>
      </c>
      <c r="B99" s="1" t="s">
        <v>152</v>
      </c>
      <c r="C99" s="1" t="s">
        <v>2729</v>
      </c>
      <c r="D99" s="1" t="s">
        <v>1074</v>
      </c>
      <c r="E99" s="37" t="s">
        <v>2932</v>
      </c>
    </row>
    <row r="100" spans="1:5" ht="14.25">
      <c r="A100" s="36" t="s">
        <v>2845</v>
      </c>
      <c r="B100" s="1" t="s">
        <v>152</v>
      </c>
      <c r="C100" s="1" t="s">
        <v>944</v>
      </c>
      <c r="D100" s="1" t="s">
        <v>1298</v>
      </c>
      <c r="E100" s="37" t="s">
        <v>2933</v>
      </c>
    </row>
    <row r="101" spans="1:5" ht="14.25">
      <c r="A101" s="36" t="s">
        <v>2828</v>
      </c>
      <c r="B101" s="1" t="s">
        <v>152</v>
      </c>
      <c r="C101" s="1" t="s">
        <v>2531</v>
      </c>
      <c r="D101" s="1" t="s">
        <v>233</v>
      </c>
      <c r="E101" s="37" t="s">
        <v>2934</v>
      </c>
    </row>
    <row r="102" spans="1:5" ht="14.25">
      <c r="A102" s="36" t="s">
        <v>2837</v>
      </c>
      <c r="B102" s="1" t="s">
        <v>152</v>
      </c>
      <c r="C102" s="1" t="s">
        <v>2729</v>
      </c>
      <c r="D102" s="1" t="s">
        <v>316</v>
      </c>
      <c r="E102" s="37" t="s">
        <v>2935</v>
      </c>
    </row>
    <row r="103" spans="1:5" ht="14.25">
      <c r="A103" s="36" t="s">
        <v>2855</v>
      </c>
      <c r="B103" s="1" t="s">
        <v>152</v>
      </c>
      <c r="C103" s="1" t="s">
        <v>156</v>
      </c>
      <c r="D103" s="1" t="s">
        <v>106</v>
      </c>
      <c r="E103" s="37" t="s">
        <v>2936</v>
      </c>
    </row>
    <row r="104" spans="1:5" ht="14.25">
      <c r="A104" s="36" t="s">
        <v>2852</v>
      </c>
      <c r="B104" s="1" t="s">
        <v>152</v>
      </c>
      <c r="C104" s="1" t="s">
        <v>158</v>
      </c>
      <c r="D104" s="1" t="s">
        <v>353</v>
      </c>
      <c r="E104" s="37" t="s">
        <v>2937</v>
      </c>
    </row>
    <row r="105" spans="1:5" ht="14.25">
      <c r="A105" s="36" t="s">
        <v>2840</v>
      </c>
      <c r="B105" s="1" t="s">
        <v>152</v>
      </c>
      <c r="C105" s="1" t="s">
        <v>2729</v>
      </c>
      <c r="D105" s="1" t="s">
        <v>798</v>
      </c>
      <c r="E105" s="37" t="s">
        <v>2938</v>
      </c>
    </row>
    <row r="106" spans="1:5" ht="14.25">
      <c r="A106" s="36" t="s">
        <v>2842</v>
      </c>
      <c r="B106" s="1" t="s">
        <v>152</v>
      </c>
      <c r="C106" s="1" t="s">
        <v>379</v>
      </c>
      <c r="D106" s="1" t="s">
        <v>46</v>
      </c>
      <c r="E106" s="37" t="s">
        <v>2939</v>
      </c>
    </row>
    <row r="107" spans="1:5" ht="14.25">
      <c r="A107" s="36" t="s">
        <v>2858</v>
      </c>
      <c r="B107" s="1" t="s">
        <v>152</v>
      </c>
      <c r="C107" s="1" t="s">
        <v>171</v>
      </c>
      <c r="D107" s="1" t="s">
        <v>74</v>
      </c>
      <c r="E107" s="37" t="s">
        <v>2940</v>
      </c>
    </row>
    <row r="109" spans="1:2" ht="15.75">
      <c r="A109" s="33" t="s">
        <v>160</v>
      </c>
      <c r="B109" s="34"/>
    </row>
    <row r="110" spans="1:5" ht="15.75">
      <c r="A110" s="35" t="s">
        <v>1</v>
      </c>
      <c r="B110" s="35" t="s">
        <v>153</v>
      </c>
      <c r="C110" s="35" t="s">
        <v>154</v>
      </c>
      <c r="D110" s="35" t="s">
        <v>7</v>
      </c>
      <c r="E110" s="35" t="s">
        <v>155</v>
      </c>
    </row>
    <row r="111" spans="1:5" ht="14.25">
      <c r="A111" s="36" t="s">
        <v>2768</v>
      </c>
      <c r="B111" s="1" t="s">
        <v>399</v>
      </c>
      <c r="C111" s="1" t="s">
        <v>2531</v>
      </c>
      <c r="D111" s="1" t="s">
        <v>254</v>
      </c>
      <c r="E111" s="37" t="s">
        <v>2833</v>
      </c>
    </row>
    <row r="112" spans="1:5" ht="14.25">
      <c r="A112" s="36" t="s">
        <v>2860</v>
      </c>
      <c r="B112" s="1" t="s">
        <v>399</v>
      </c>
      <c r="C112" s="1" t="s">
        <v>171</v>
      </c>
      <c r="D112" s="1" t="s">
        <v>73</v>
      </c>
      <c r="E112" s="37" t="s">
        <v>2941</v>
      </c>
    </row>
    <row r="115" spans="1:2" ht="16.5">
      <c r="A115" s="32" t="s">
        <v>164</v>
      </c>
      <c r="B115" s="32"/>
    </row>
    <row r="116" spans="1:2" ht="15.75">
      <c r="A116" s="33" t="s">
        <v>375</v>
      </c>
      <c r="B116" s="34"/>
    </row>
    <row r="117" spans="1:5" ht="15.75">
      <c r="A117" s="35" t="s">
        <v>1</v>
      </c>
      <c r="B117" s="35" t="s">
        <v>153</v>
      </c>
      <c r="C117" s="35" t="s">
        <v>154</v>
      </c>
      <c r="D117" s="35" t="s">
        <v>7</v>
      </c>
      <c r="E117" s="35" t="s">
        <v>155</v>
      </c>
    </row>
    <row r="118" spans="1:5" ht="14.25">
      <c r="A118" s="36" t="s">
        <v>2920</v>
      </c>
      <c r="B118" s="1" t="s">
        <v>376</v>
      </c>
      <c r="C118" s="1" t="s">
        <v>173</v>
      </c>
      <c r="D118" s="1" t="s">
        <v>2942</v>
      </c>
      <c r="E118" s="37" t="s">
        <v>2943</v>
      </c>
    </row>
    <row r="119" spans="1:5" ht="14.25">
      <c r="A119" s="36" t="s">
        <v>2881</v>
      </c>
      <c r="B119" s="1" t="s">
        <v>376</v>
      </c>
      <c r="C119" s="1" t="s">
        <v>181</v>
      </c>
      <c r="D119" s="1" t="s">
        <v>2944</v>
      </c>
      <c r="E119" s="37" t="s">
        <v>2945</v>
      </c>
    </row>
    <row r="120" spans="1:5" ht="14.25">
      <c r="A120" s="36" t="s">
        <v>2875</v>
      </c>
      <c r="B120" s="1" t="s">
        <v>376</v>
      </c>
      <c r="C120" s="1" t="s">
        <v>171</v>
      </c>
      <c r="D120" s="1" t="s">
        <v>1765</v>
      </c>
      <c r="E120" s="37" t="s">
        <v>2946</v>
      </c>
    </row>
    <row r="121" spans="1:5" ht="14.25">
      <c r="A121" s="36" t="s">
        <v>2691</v>
      </c>
      <c r="B121" s="1" t="s">
        <v>921</v>
      </c>
      <c r="C121" s="1" t="s">
        <v>171</v>
      </c>
      <c r="D121" s="1" t="s">
        <v>2947</v>
      </c>
      <c r="E121" s="37" t="s">
        <v>2948</v>
      </c>
    </row>
    <row r="122" spans="1:5" ht="14.25">
      <c r="A122" s="36" t="s">
        <v>2918</v>
      </c>
      <c r="B122" s="1" t="s">
        <v>921</v>
      </c>
      <c r="C122" s="1" t="s">
        <v>173</v>
      </c>
      <c r="D122" s="1" t="s">
        <v>2949</v>
      </c>
      <c r="E122" s="37" t="s">
        <v>2950</v>
      </c>
    </row>
    <row r="123" spans="1:5" ht="14.25">
      <c r="A123" s="36" t="s">
        <v>2862</v>
      </c>
      <c r="B123" s="1" t="s">
        <v>917</v>
      </c>
      <c r="C123" s="1" t="s">
        <v>372</v>
      </c>
      <c r="D123" s="1" t="s">
        <v>294</v>
      </c>
      <c r="E123" s="37" t="s">
        <v>2951</v>
      </c>
    </row>
    <row r="125" spans="1:2" ht="15.75">
      <c r="A125" s="33" t="s">
        <v>165</v>
      </c>
      <c r="B125" s="34"/>
    </row>
    <row r="126" spans="1:5" ht="15.75">
      <c r="A126" s="35" t="s">
        <v>1</v>
      </c>
      <c r="B126" s="35" t="s">
        <v>153</v>
      </c>
      <c r="C126" s="35" t="s">
        <v>154</v>
      </c>
      <c r="D126" s="35" t="s">
        <v>7</v>
      </c>
      <c r="E126" s="35" t="s">
        <v>155</v>
      </c>
    </row>
    <row r="127" spans="1:5" ht="14.25">
      <c r="A127" s="36" t="s">
        <v>2252</v>
      </c>
      <c r="B127" s="1" t="s">
        <v>166</v>
      </c>
      <c r="C127" s="1" t="s">
        <v>167</v>
      </c>
      <c r="D127" s="1" t="s">
        <v>1257</v>
      </c>
      <c r="E127" s="37" t="s">
        <v>2952</v>
      </c>
    </row>
    <row r="128" spans="1:5" ht="14.25">
      <c r="A128" s="36" t="s">
        <v>2899</v>
      </c>
      <c r="B128" s="1" t="s">
        <v>166</v>
      </c>
      <c r="C128" s="1" t="s">
        <v>167</v>
      </c>
      <c r="D128" s="1" t="s">
        <v>364</v>
      </c>
      <c r="E128" s="37" t="s">
        <v>2953</v>
      </c>
    </row>
    <row r="130" spans="1:2" ht="15.75">
      <c r="A130" s="33" t="s">
        <v>152</v>
      </c>
      <c r="B130" s="34"/>
    </row>
    <row r="131" spans="1:5" ht="15.75">
      <c r="A131" s="35" t="s">
        <v>1</v>
      </c>
      <c r="B131" s="35" t="s">
        <v>153</v>
      </c>
      <c r="C131" s="35" t="s">
        <v>154</v>
      </c>
      <c r="D131" s="35" t="s">
        <v>7</v>
      </c>
      <c r="E131" s="35" t="s">
        <v>155</v>
      </c>
    </row>
    <row r="132" spans="1:5" ht="14.25">
      <c r="A132" s="36" t="s">
        <v>2868</v>
      </c>
      <c r="B132" s="1" t="s">
        <v>152</v>
      </c>
      <c r="C132" s="1" t="s">
        <v>156</v>
      </c>
      <c r="D132" s="1" t="s">
        <v>1968</v>
      </c>
      <c r="E132" s="37" t="s">
        <v>2954</v>
      </c>
    </row>
    <row r="133" spans="1:5" ht="14.25">
      <c r="A133" s="36" t="s">
        <v>2901</v>
      </c>
      <c r="B133" s="1" t="s">
        <v>152</v>
      </c>
      <c r="C133" s="1" t="s">
        <v>167</v>
      </c>
      <c r="D133" s="1" t="s">
        <v>1982</v>
      </c>
      <c r="E133" s="37" t="s">
        <v>2955</v>
      </c>
    </row>
    <row r="134" spans="1:5" ht="14.25">
      <c r="A134" s="36" t="s">
        <v>2494</v>
      </c>
      <c r="B134" s="1" t="s">
        <v>152</v>
      </c>
      <c r="C134" s="1" t="s">
        <v>169</v>
      </c>
      <c r="D134" s="1" t="s">
        <v>1514</v>
      </c>
      <c r="E134" s="37" t="s">
        <v>2956</v>
      </c>
    </row>
    <row r="135" spans="1:5" ht="14.25">
      <c r="A135" s="36" t="s">
        <v>2903</v>
      </c>
      <c r="B135" s="1" t="s">
        <v>152</v>
      </c>
      <c r="C135" s="1" t="s">
        <v>167</v>
      </c>
      <c r="D135" s="1" t="s">
        <v>1759</v>
      </c>
      <c r="E135" s="37" t="s">
        <v>2957</v>
      </c>
    </row>
    <row r="136" spans="1:5" ht="14.25">
      <c r="A136" s="36" t="s">
        <v>2905</v>
      </c>
      <c r="B136" s="1" t="s">
        <v>152</v>
      </c>
      <c r="C136" s="1" t="s">
        <v>167</v>
      </c>
      <c r="D136" s="1" t="s">
        <v>1989</v>
      </c>
      <c r="E136" s="37" t="s">
        <v>2958</v>
      </c>
    </row>
    <row r="137" spans="1:5" ht="14.25">
      <c r="A137" s="36" t="s">
        <v>2883</v>
      </c>
      <c r="B137" s="1" t="s">
        <v>152</v>
      </c>
      <c r="C137" s="1" t="s">
        <v>181</v>
      </c>
      <c r="D137" s="1" t="s">
        <v>1705</v>
      </c>
      <c r="E137" s="37" t="s">
        <v>2959</v>
      </c>
    </row>
    <row r="138" spans="1:5" ht="14.25">
      <c r="A138" s="36" t="s">
        <v>2886</v>
      </c>
      <c r="B138" s="1" t="s">
        <v>152</v>
      </c>
      <c r="C138" s="1" t="s">
        <v>181</v>
      </c>
      <c r="D138" s="1" t="s">
        <v>2960</v>
      </c>
      <c r="E138" s="37" t="s">
        <v>2961</v>
      </c>
    </row>
    <row r="139" spans="1:5" ht="14.25">
      <c r="A139" s="36" t="s">
        <v>2907</v>
      </c>
      <c r="B139" s="1" t="s">
        <v>152</v>
      </c>
      <c r="C139" s="1" t="s">
        <v>167</v>
      </c>
      <c r="D139" s="1" t="s">
        <v>1938</v>
      </c>
      <c r="E139" s="37" t="s">
        <v>2962</v>
      </c>
    </row>
    <row r="140" spans="1:5" ht="14.25">
      <c r="A140" s="36" t="s">
        <v>2877</v>
      </c>
      <c r="B140" s="1" t="s">
        <v>152</v>
      </c>
      <c r="C140" s="1" t="s">
        <v>171</v>
      </c>
      <c r="D140" s="1" t="s">
        <v>2963</v>
      </c>
      <c r="E140" s="37" t="s">
        <v>2964</v>
      </c>
    </row>
    <row r="141" spans="1:5" ht="14.25">
      <c r="A141" s="36" t="s">
        <v>2889</v>
      </c>
      <c r="B141" s="1" t="s">
        <v>152</v>
      </c>
      <c r="C141" s="1" t="s">
        <v>181</v>
      </c>
      <c r="D141" s="1" t="s">
        <v>1941</v>
      </c>
      <c r="E141" s="37" t="s">
        <v>2965</v>
      </c>
    </row>
    <row r="142" spans="1:5" ht="14.25">
      <c r="A142" s="36" t="s">
        <v>2909</v>
      </c>
      <c r="B142" s="1" t="s">
        <v>152</v>
      </c>
      <c r="C142" s="1" t="s">
        <v>167</v>
      </c>
      <c r="D142" s="1" t="s">
        <v>1705</v>
      </c>
      <c r="E142" s="37" t="s">
        <v>2966</v>
      </c>
    </row>
    <row r="143" spans="1:5" ht="14.25">
      <c r="A143" s="36" t="s">
        <v>2891</v>
      </c>
      <c r="B143" s="1" t="s">
        <v>152</v>
      </c>
      <c r="C143" s="1" t="s">
        <v>181</v>
      </c>
      <c r="D143" s="1" t="s">
        <v>1762</v>
      </c>
      <c r="E143" s="37" t="s">
        <v>2967</v>
      </c>
    </row>
    <row r="144" spans="1:5" ht="14.25">
      <c r="A144" s="36" t="s">
        <v>2923</v>
      </c>
      <c r="B144" s="1" t="s">
        <v>152</v>
      </c>
      <c r="C144" s="1" t="s">
        <v>173</v>
      </c>
      <c r="D144" s="1" t="s">
        <v>1536</v>
      </c>
      <c r="E144" s="37" t="s">
        <v>2968</v>
      </c>
    </row>
    <row r="145" spans="1:5" ht="14.25">
      <c r="A145" s="36" t="s">
        <v>2893</v>
      </c>
      <c r="B145" s="1" t="s">
        <v>152</v>
      </c>
      <c r="C145" s="1" t="s">
        <v>181</v>
      </c>
      <c r="D145" s="1" t="s">
        <v>2969</v>
      </c>
      <c r="E145" s="37" t="s">
        <v>2970</v>
      </c>
    </row>
    <row r="147" spans="1:2" ht="15.75">
      <c r="A147" s="33" t="s">
        <v>160</v>
      </c>
      <c r="B147" s="34"/>
    </row>
    <row r="148" spans="1:5" ht="15.75">
      <c r="A148" s="35" t="s">
        <v>1</v>
      </c>
      <c r="B148" s="35" t="s">
        <v>153</v>
      </c>
      <c r="C148" s="35" t="s">
        <v>154</v>
      </c>
      <c r="D148" s="35" t="s">
        <v>7</v>
      </c>
      <c r="E148" s="35" t="s">
        <v>155</v>
      </c>
    </row>
    <row r="149" spans="1:5" ht="14.25">
      <c r="A149" s="36" t="s">
        <v>2889</v>
      </c>
      <c r="B149" s="1" t="s">
        <v>161</v>
      </c>
      <c r="C149" s="1" t="s">
        <v>181</v>
      </c>
      <c r="D149" s="1" t="s">
        <v>1547</v>
      </c>
      <c r="E149" s="37" t="s">
        <v>2971</v>
      </c>
    </row>
    <row r="150" spans="1:5" ht="14.25">
      <c r="A150" s="36" t="s">
        <v>2915</v>
      </c>
      <c r="B150" s="1" t="s">
        <v>188</v>
      </c>
      <c r="C150" s="1" t="s">
        <v>167</v>
      </c>
      <c r="D150" s="1" t="s">
        <v>1728</v>
      </c>
      <c r="E150" s="37" t="s">
        <v>2972</v>
      </c>
    </row>
    <row r="151" spans="1:5" ht="14.25">
      <c r="A151" s="36" t="s">
        <v>2929</v>
      </c>
      <c r="B151" s="1" t="s">
        <v>399</v>
      </c>
      <c r="C151" s="1" t="s">
        <v>169</v>
      </c>
      <c r="D151" s="1" t="s">
        <v>2973</v>
      </c>
      <c r="E151" s="37" t="s">
        <v>2974</v>
      </c>
    </row>
    <row r="152" spans="1:5" ht="14.25">
      <c r="A152" s="36" t="s">
        <v>2897</v>
      </c>
      <c r="B152" s="1" t="s">
        <v>190</v>
      </c>
      <c r="C152" s="1" t="s">
        <v>181</v>
      </c>
      <c r="D152" s="1" t="s">
        <v>2975</v>
      </c>
      <c r="E152" s="37" t="s">
        <v>2976</v>
      </c>
    </row>
    <row r="153" spans="1:5" ht="14.25">
      <c r="A153" s="36" t="s">
        <v>2925</v>
      </c>
      <c r="B153" s="1" t="s">
        <v>188</v>
      </c>
      <c r="C153" s="1" t="s">
        <v>173</v>
      </c>
      <c r="D153" s="1" t="s">
        <v>1926</v>
      </c>
      <c r="E153" s="37" t="s">
        <v>2977</v>
      </c>
    </row>
    <row r="154" spans="1:5" ht="14.25">
      <c r="A154" s="36" t="s">
        <v>2879</v>
      </c>
      <c r="B154" s="1" t="s">
        <v>188</v>
      </c>
      <c r="C154" s="1" t="s">
        <v>171</v>
      </c>
      <c r="D154" s="1" t="s">
        <v>2978</v>
      </c>
      <c r="E154" s="37" t="s">
        <v>2979</v>
      </c>
    </row>
    <row r="155" spans="1:5" ht="14.25">
      <c r="A155" s="36" t="s">
        <v>2865</v>
      </c>
      <c r="B155" s="1" t="s">
        <v>963</v>
      </c>
      <c r="C155" s="1" t="s">
        <v>158</v>
      </c>
      <c r="D155" s="1" t="s">
        <v>333</v>
      </c>
      <c r="E155" s="37" t="s">
        <v>2980</v>
      </c>
    </row>
  </sheetData>
  <sheetProtection selectLockedCells="1" selectUnlockedCells="1"/>
  <mergeCells count="28">
    <mergeCell ref="A1:T2"/>
    <mergeCell ref="A3:A4"/>
    <mergeCell ref="B3:B4"/>
    <mergeCell ref="C3:C4"/>
    <mergeCell ref="D3:D4"/>
    <mergeCell ref="E3:E4"/>
    <mergeCell ref="F3:I3"/>
    <mergeCell ref="J3:M3"/>
    <mergeCell ref="N3:Q3"/>
    <mergeCell ref="R3:R4"/>
    <mergeCell ref="S3:S4"/>
    <mergeCell ref="T3:T4"/>
    <mergeCell ref="A5:S5"/>
    <mergeCell ref="A10:S10"/>
    <mergeCell ref="A15:S15"/>
    <mergeCell ref="A18:S18"/>
    <mergeCell ref="A21:S21"/>
    <mergeCell ref="A24:S24"/>
    <mergeCell ref="A28:S28"/>
    <mergeCell ref="A31:S31"/>
    <mergeCell ref="A35:S35"/>
    <mergeCell ref="A38:S38"/>
    <mergeCell ref="A41:S41"/>
    <mergeCell ref="A45:S45"/>
    <mergeCell ref="A51:S51"/>
    <mergeCell ref="A61:S61"/>
    <mergeCell ref="A72:S72"/>
    <mergeCell ref="A78:S7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31">
      <selection activeCell="J1" sqref="J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5.50390625" style="1" customWidth="1"/>
    <col min="7" max="7" width="7.375" style="1" customWidth="1"/>
    <col min="8" max="8" width="2.125" style="1" customWidth="1"/>
    <col min="9" max="9" width="4.50390625" style="1" customWidth="1"/>
    <col min="10" max="10" width="6.375" style="37" customWidth="1"/>
    <col min="11" max="11" width="9.50390625" style="1" customWidth="1"/>
    <col min="12" max="12" width="7.125" style="1" customWidth="1"/>
  </cols>
  <sheetData>
    <row r="1" spans="1:12" s="4" customFormat="1" ht="15" customHeight="1">
      <c r="A1" s="3" t="s">
        <v>2981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5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2001</v>
      </c>
      <c r="C3" s="6" t="s">
        <v>3</v>
      </c>
      <c r="D3" s="7" t="s">
        <v>4</v>
      </c>
      <c r="E3" s="7" t="s">
        <v>5</v>
      </c>
      <c r="F3" s="90" t="s">
        <v>6</v>
      </c>
      <c r="G3" s="90"/>
      <c r="H3" s="90"/>
      <c r="I3" s="90"/>
      <c r="J3" s="7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3" t="s">
        <v>2002</v>
      </c>
      <c r="G4" s="13" t="s">
        <v>2003</v>
      </c>
      <c r="H4" s="13">
        <v>3</v>
      </c>
      <c r="I4" s="14" t="s">
        <v>10</v>
      </c>
      <c r="J4" s="7"/>
      <c r="K4" s="7"/>
      <c r="L4" s="10"/>
    </row>
    <row r="5" spans="1:11" ht="16.5">
      <c r="A5" s="15" t="s">
        <v>213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27" t="s">
        <v>2982</v>
      </c>
      <c r="B6" s="27" t="s">
        <v>2983</v>
      </c>
      <c r="C6" s="27" t="s">
        <v>2984</v>
      </c>
      <c r="D6" s="27">
        <f>"1,2146"</f>
        <v>0</v>
      </c>
      <c r="E6" s="27" t="s">
        <v>15</v>
      </c>
      <c r="F6" s="27" t="s">
        <v>594</v>
      </c>
      <c r="G6" s="27" t="s">
        <v>2050</v>
      </c>
      <c r="H6" s="28"/>
      <c r="I6" s="28"/>
      <c r="J6" s="41">
        <v>950</v>
      </c>
      <c r="K6" s="27">
        <f>"1153,8904"</f>
        <v>0</v>
      </c>
      <c r="L6" s="27"/>
    </row>
    <row r="8" spans="1:11" ht="16.5">
      <c r="A8" s="23" t="s">
        <v>202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14.25">
      <c r="A9" s="16" t="s">
        <v>2332</v>
      </c>
      <c r="B9" s="16" t="s">
        <v>2333</v>
      </c>
      <c r="C9" s="16" t="s">
        <v>522</v>
      </c>
      <c r="D9" s="16">
        <f aca="true" t="shared" si="0" ref="D9:D10">"0,8328"</f>
        <v>0</v>
      </c>
      <c r="E9" s="16" t="s">
        <v>15</v>
      </c>
      <c r="F9" s="16" t="s">
        <v>524</v>
      </c>
      <c r="G9" s="16" t="s">
        <v>2985</v>
      </c>
      <c r="H9" s="18"/>
      <c r="I9" s="18"/>
      <c r="J9" s="42">
        <v>2460</v>
      </c>
      <c r="K9" s="16">
        <f aca="true" t="shared" si="1" ref="K9:K10">"2048,8109"</f>
        <v>0</v>
      </c>
      <c r="L9" s="16"/>
    </row>
    <row r="10" spans="1:12" ht="14.25">
      <c r="A10" s="20" t="s">
        <v>2332</v>
      </c>
      <c r="B10" s="20" t="s">
        <v>2986</v>
      </c>
      <c r="C10" s="20" t="s">
        <v>522</v>
      </c>
      <c r="D10" s="20">
        <f t="shared" si="0"/>
        <v>0</v>
      </c>
      <c r="E10" s="20" t="s">
        <v>15</v>
      </c>
      <c r="F10" s="20" t="s">
        <v>524</v>
      </c>
      <c r="G10" s="20" t="s">
        <v>2985</v>
      </c>
      <c r="H10" s="21"/>
      <c r="I10" s="21"/>
      <c r="J10" s="44">
        <v>2460</v>
      </c>
      <c r="K10" s="20">
        <f t="shared" si="1"/>
        <v>0</v>
      </c>
      <c r="L10" s="20"/>
    </row>
    <row r="12" spans="1:11" ht="16.5">
      <c r="A12" s="23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2" ht="14.25">
      <c r="A13" s="16" t="s">
        <v>2347</v>
      </c>
      <c r="B13" s="16" t="s">
        <v>2348</v>
      </c>
      <c r="C13" s="16" t="s">
        <v>1006</v>
      </c>
      <c r="D13" s="16">
        <f>"0,7681"</f>
        <v>0</v>
      </c>
      <c r="E13" s="16" t="s">
        <v>15</v>
      </c>
      <c r="F13" s="16" t="s">
        <v>547</v>
      </c>
      <c r="G13" s="16" t="s">
        <v>2068</v>
      </c>
      <c r="H13" s="18"/>
      <c r="I13" s="18"/>
      <c r="J13" s="42">
        <v>1552.5</v>
      </c>
      <c r="K13" s="16">
        <f>"1192,3976"</f>
        <v>0</v>
      </c>
      <c r="L13" s="16"/>
    </row>
    <row r="14" spans="1:12" ht="14.25">
      <c r="A14" s="20" t="s">
        <v>2349</v>
      </c>
      <c r="B14" s="20" t="s">
        <v>2350</v>
      </c>
      <c r="C14" s="20" t="s">
        <v>2036</v>
      </c>
      <c r="D14" s="20">
        <f>"0,9250"</f>
        <v>0</v>
      </c>
      <c r="E14" s="20" t="s">
        <v>15</v>
      </c>
      <c r="F14" s="20" t="s">
        <v>547</v>
      </c>
      <c r="G14" s="20" t="s">
        <v>2071</v>
      </c>
      <c r="H14" s="21"/>
      <c r="I14" s="21"/>
      <c r="J14" s="44">
        <v>2632.5</v>
      </c>
      <c r="K14" s="20">
        <f>"2435,0559"</f>
        <v>0</v>
      </c>
      <c r="L14" s="20"/>
    </row>
    <row r="16" spans="1:11" ht="16.5">
      <c r="A16" s="23" t="s">
        <v>25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2" ht="14.25">
      <c r="A17" s="16" t="s">
        <v>2987</v>
      </c>
      <c r="B17" s="16" t="s">
        <v>2988</v>
      </c>
      <c r="C17" s="16" t="s">
        <v>2989</v>
      </c>
      <c r="D17" s="16">
        <f>"0,7212"</f>
        <v>0</v>
      </c>
      <c r="E17" s="16" t="s">
        <v>15</v>
      </c>
      <c r="F17" s="16" t="s">
        <v>510</v>
      </c>
      <c r="G17" s="16" t="s">
        <v>582</v>
      </c>
      <c r="H17" s="18"/>
      <c r="I17" s="18"/>
      <c r="J17" s="42">
        <v>3262.5</v>
      </c>
      <c r="K17" s="16">
        <f>"2353,0781"</f>
        <v>0</v>
      </c>
      <c r="L17" s="16"/>
    </row>
    <row r="18" spans="1:12" ht="14.25">
      <c r="A18" s="24" t="s">
        <v>2990</v>
      </c>
      <c r="B18" s="24" t="s">
        <v>2991</v>
      </c>
      <c r="C18" s="24" t="s">
        <v>2992</v>
      </c>
      <c r="D18" s="24">
        <f>"0,7348"</f>
        <v>0</v>
      </c>
      <c r="E18" s="24" t="s">
        <v>369</v>
      </c>
      <c r="F18" s="24" t="s">
        <v>540</v>
      </c>
      <c r="G18" s="24" t="s">
        <v>2993</v>
      </c>
      <c r="H18" s="25"/>
      <c r="I18" s="25"/>
      <c r="J18" s="43">
        <v>3010</v>
      </c>
      <c r="K18" s="24">
        <f>"2211,8985"</f>
        <v>0</v>
      </c>
      <c r="L18" s="24"/>
    </row>
    <row r="19" spans="1:12" ht="14.25">
      <c r="A19" s="24" t="s">
        <v>2994</v>
      </c>
      <c r="B19" s="24" t="s">
        <v>2995</v>
      </c>
      <c r="C19" s="24" t="s">
        <v>2996</v>
      </c>
      <c r="D19" s="24">
        <f>"0,7326"</f>
        <v>0</v>
      </c>
      <c r="E19" s="24" t="s">
        <v>15</v>
      </c>
      <c r="F19" s="24" t="s">
        <v>540</v>
      </c>
      <c r="G19" s="24" t="s">
        <v>581</v>
      </c>
      <c r="H19" s="25"/>
      <c r="I19" s="25"/>
      <c r="J19" s="43">
        <v>2800</v>
      </c>
      <c r="K19" s="24">
        <f>"2051,4199"</f>
        <v>0</v>
      </c>
      <c r="L19" s="24"/>
    </row>
    <row r="20" spans="1:12" ht="14.25">
      <c r="A20" s="20" t="s">
        <v>2997</v>
      </c>
      <c r="B20" s="20" t="s">
        <v>2998</v>
      </c>
      <c r="C20" s="20" t="s">
        <v>1221</v>
      </c>
      <c r="D20" s="20">
        <f>"1,1691"</f>
        <v>0</v>
      </c>
      <c r="E20" s="20" t="s">
        <v>15</v>
      </c>
      <c r="F20" s="21" t="s">
        <v>526</v>
      </c>
      <c r="G20" s="21" t="s">
        <v>2999</v>
      </c>
      <c r="H20" s="21"/>
      <c r="I20" s="21"/>
      <c r="J20" s="44">
        <v>0</v>
      </c>
      <c r="K20" s="20">
        <f>"0,0000"</f>
        <v>0</v>
      </c>
      <c r="L20" s="20"/>
    </row>
    <row r="22" spans="1:11" ht="16.5">
      <c r="A22" s="23" t="s">
        <v>49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2" ht="14.25">
      <c r="A23" s="16" t="s">
        <v>1667</v>
      </c>
      <c r="B23" s="16" t="s">
        <v>3000</v>
      </c>
      <c r="C23" s="16" t="s">
        <v>1604</v>
      </c>
      <c r="D23" s="16">
        <f>"0,6595"</f>
        <v>0</v>
      </c>
      <c r="E23" s="16" t="s">
        <v>15</v>
      </c>
      <c r="F23" s="16" t="s">
        <v>527</v>
      </c>
      <c r="G23" s="16" t="s">
        <v>2993</v>
      </c>
      <c r="H23" s="18"/>
      <c r="I23" s="18"/>
      <c r="J23" s="42">
        <v>3440</v>
      </c>
      <c r="K23" s="16">
        <f>"2268,6800"</f>
        <v>0</v>
      </c>
      <c r="L23" s="16"/>
    </row>
    <row r="24" spans="1:12" ht="14.25">
      <c r="A24" s="24" t="s">
        <v>3001</v>
      </c>
      <c r="B24" s="24" t="s">
        <v>3002</v>
      </c>
      <c r="C24" s="24" t="s">
        <v>687</v>
      </c>
      <c r="D24" s="24">
        <f>"0,6737"</f>
        <v>0</v>
      </c>
      <c r="E24" s="24" t="s">
        <v>15</v>
      </c>
      <c r="F24" s="24" t="s">
        <v>511</v>
      </c>
      <c r="G24" s="24" t="s">
        <v>2985</v>
      </c>
      <c r="H24" s="25"/>
      <c r="I24" s="25"/>
      <c r="J24" s="43">
        <v>3177.5</v>
      </c>
      <c r="K24" s="24">
        <f>"2140,5230"</f>
        <v>0</v>
      </c>
      <c r="L24" s="24"/>
    </row>
    <row r="25" spans="1:12" ht="14.25">
      <c r="A25" s="24" t="s">
        <v>2382</v>
      </c>
      <c r="B25" s="24" t="s">
        <v>3003</v>
      </c>
      <c r="C25" s="24" t="s">
        <v>231</v>
      </c>
      <c r="D25" s="24">
        <f>"0,6513"</f>
        <v>0</v>
      </c>
      <c r="E25" s="24" t="s">
        <v>15</v>
      </c>
      <c r="F25" s="24" t="s">
        <v>512</v>
      </c>
      <c r="G25" s="24" t="s">
        <v>3004</v>
      </c>
      <c r="H25" s="25"/>
      <c r="I25" s="25"/>
      <c r="J25" s="43">
        <v>3135</v>
      </c>
      <c r="K25" s="24">
        <f>"2041,8255"</f>
        <v>0</v>
      </c>
      <c r="L25" s="24"/>
    </row>
    <row r="26" spans="1:12" ht="14.25">
      <c r="A26" s="24" t="s">
        <v>3005</v>
      </c>
      <c r="B26" s="24" t="s">
        <v>3006</v>
      </c>
      <c r="C26" s="24" t="s">
        <v>574</v>
      </c>
      <c r="D26" s="24">
        <f>"0,6503"</f>
        <v>0</v>
      </c>
      <c r="E26" s="24" t="s">
        <v>15</v>
      </c>
      <c r="F26" s="24" t="s">
        <v>512</v>
      </c>
      <c r="G26" s="24" t="s">
        <v>2031</v>
      </c>
      <c r="H26" s="25"/>
      <c r="I26" s="25"/>
      <c r="J26" s="43">
        <v>2557.5</v>
      </c>
      <c r="K26" s="24">
        <f>"1663,0144"</f>
        <v>0</v>
      </c>
      <c r="L26" s="24"/>
    </row>
    <row r="27" spans="1:12" ht="14.25">
      <c r="A27" s="24" t="s">
        <v>3001</v>
      </c>
      <c r="B27" s="24" t="s">
        <v>3007</v>
      </c>
      <c r="C27" s="24" t="s">
        <v>687</v>
      </c>
      <c r="D27" s="24">
        <f>"0,7026"</f>
        <v>0</v>
      </c>
      <c r="E27" s="24" t="s">
        <v>15</v>
      </c>
      <c r="F27" s="24" t="s">
        <v>511</v>
      </c>
      <c r="G27" s="24" t="s">
        <v>2985</v>
      </c>
      <c r="H27" s="25"/>
      <c r="I27" s="25"/>
      <c r="J27" s="43">
        <v>3177.5</v>
      </c>
      <c r="K27" s="24">
        <f>"2232,5655"</f>
        <v>0</v>
      </c>
      <c r="L27" s="24"/>
    </row>
    <row r="28" spans="1:12" ht="14.25">
      <c r="A28" s="20" t="s">
        <v>2382</v>
      </c>
      <c r="B28" s="20" t="s">
        <v>2383</v>
      </c>
      <c r="C28" s="20" t="s">
        <v>231</v>
      </c>
      <c r="D28" s="20">
        <f>"0,7249"</f>
        <v>0</v>
      </c>
      <c r="E28" s="20" t="s">
        <v>15</v>
      </c>
      <c r="F28" s="20" t="s">
        <v>512</v>
      </c>
      <c r="G28" s="20" t="s">
        <v>3004</v>
      </c>
      <c r="H28" s="21"/>
      <c r="I28" s="21"/>
      <c r="J28" s="44">
        <v>3135</v>
      </c>
      <c r="K28" s="20">
        <f>"2272,5518"</f>
        <v>0</v>
      </c>
      <c r="L28" s="20"/>
    </row>
    <row r="30" spans="1:11" ht="16.5">
      <c r="A30" s="23" t="s">
        <v>63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2" ht="14.25">
      <c r="A31" s="16" t="s">
        <v>2411</v>
      </c>
      <c r="B31" s="16" t="s">
        <v>2412</v>
      </c>
      <c r="C31" s="16" t="s">
        <v>1830</v>
      </c>
      <c r="D31" s="16">
        <f>"0,6165"</f>
        <v>0</v>
      </c>
      <c r="E31" s="16" t="s">
        <v>536</v>
      </c>
      <c r="F31" s="16" t="s">
        <v>22</v>
      </c>
      <c r="G31" s="16" t="s">
        <v>580</v>
      </c>
      <c r="H31" s="18"/>
      <c r="I31" s="18"/>
      <c r="J31" s="42">
        <v>3150</v>
      </c>
      <c r="K31" s="16">
        <f>"1941,8175"</f>
        <v>0</v>
      </c>
      <c r="L31" s="16"/>
    </row>
    <row r="32" spans="1:12" ht="14.25">
      <c r="A32" s="24" t="s">
        <v>3008</v>
      </c>
      <c r="B32" s="24" t="s">
        <v>3009</v>
      </c>
      <c r="C32" s="24" t="s">
        <v>3010</v>
      </c>
      <c r="D32" s="24">
        <f>"0,6373"</f>
        <v>0</v>
      </c>
      <c r="E32" s="24" t="s">
        <v>15</v>
      </c>
      <c r="F32" s="24" t="s">
        <v>328</v>
      </c>
      <c r="G32" s="24" t="s">
        <v>2031</v>
      </c>
      <c r="H32" s="25"/>
      <c r="I32" s="25"/>
      <c r="J32" s="43">
        <v>2635</v>
      </c>
      <c r="K32" s="24">
        <f>"1679,1538"</f>
        <v>0</v>
      </c>
      <c r="L32" s="24"/>
    </row>
    <row r="33" spans="1:12" ht="14.25">
      <c r="A33" s="24" t="s">
        <v>3011</v>
      </c>
      <c r="B33" s="24" t="s">
        <v>3012</v>
      </c>
      <c r="C33" s="24" t="s">
        <v>3013</v>
      </c>
      <c r="D33" s="24">
        <f>"0,6173"</f>
        <v>0</v>
      </c>
      <c r="E33" s="24" t="s">
        <v>15</v>
      </c>
      <c r="F33" s="24" t="s">
        <v>22</v>
      </c>
      <c r="G33" s="24" t="s">
        <v>2076</v>
      </c>
      <c r="H33" s="25"/>
      <c r="I33" s="25"/>
      <c r="J33" s="43">
        <v>2610</v>
      </c>
      <c r="K33" s="24">
        <f>"1611,1529"</f>
        <v>0</v>
      </c>
      <c r="L33" s="24"/>
    </row>
    <row r="34" spans="1:12" ht="14.25">
      <c r="A34" s="24" t="s">
        <v>3014</v>
      </c>
      <c r="B34" s="24" t="s">
        <v>3015</v>
      </c>
      <c r="C34" s="24" t="s">
        <v>3016</v>
      </c>
      <c r="D34" s="24">
        <f>"0,6197"</f>
        <v>0</v>
      </c>
      <c r="E34" s="24" t="s">
        <v>15</v>
      </c>
      <c r="F34" s="24" t="s">
        <v>22</v>
      </c>
      <c r="G34" s="24" t="s">
        <v>2040</v>
      </c>
      <c r="H34" s="25"/>
      <c r="I34" s="25"/>
      <c r="J34" s="43">
        <v>2340</v>
      </c>
      <c r="K34" s="24">
        <f>"1450,0980"</f>
        <v>0</v>
      </c>
      <c r="L34" s="24"/>
    </row>
    <row r="35" spans="1:12" ht="14.25">
      <c r="A35" s="24" t="s">
        <v>3017</v>
      </c>
      <c r="B35" s="24" t="s">
        <v>3018</v>
      </c>
      <c r="C35" s="24" t="s">
        <v>2669</v>
      </c>
      <c r="D35" s="24">
        <f>"0,6402"</f>
        <v>0</v>
      </c>
      <c r="E35" s="24" t="s">
        <v>15</v>
      </c>
      <c r="F35" s="24" t="s">
        <v>328</v>
      </c>
      <c r="G35" s="24" t="s">
        <v>2030</v>
      </c>
      <c r="H35" s="25"/>
      <c r="I35" s="25"/>
      <c r="J35" s="43">
        <v>2125</v>
      </c>
      <c r="K35" s="24">
        <f>"1360,3188"</f>
        <v>0</v>
      </c>
      <c r="L35" s="24"/>
    </row>
    <row r="36" spans="1:12" ht="14.25">
      <c r="A36" s="24" t="s">
        <v>2411</v>
      </c>
      <c r="B36" s="24" t="s">
        <v>2426</v>
      </c>
      <c r="C36" s="24" t="s">
        <v>1830</v>
      </c>
      <c r="D36" s="24">
        <f>"0,6356"</f>
        <v>0</v>
      </c>
      <c r="E36" s="24" t="s">
        <v>536</v>
      </c>
      <c r="F36" s="24" t="s">
        <v>22</v>
      </c>
      <c r="G36" s="24" t="s">
        <v>580</v>
      </c>
      <c r="H36" s="25"/>
      <c r="I36" s="25"/>
      <c r="J36" s="43">
        <v>3150</v>
      </c>
      <c r="K36" s="24">
        <f>"2002,0139"</f>
        <v>0</v>
      </c>
      <c r="L36" s="24"/>
    </row>
    <row r="37" spans="1:12" ht="14.25">
      <c r="A37" s="24" t="s">
        <v>3008</v>
      </c>
      <c r="B37" s="24" t="s">
        <v>3019</v>
      </c>
      <c r="C37" s="24" t="s">
        <v>3010</v>
      </c>
      <c r="D37" s="24">
        <f>"0,6500"</f>
        <v>0</v>
      </c>
      <c r="E37" s="24" t="s">
        <v>15</v>
      </c>
      <c r="F37" s="24" t="s">
        <v>328</v>
      </c>
      <c r="G37" s="24" t="s">
        <v>2031</v>
      </c>
      <c r="H37" s="25"/>
      <c r="I37" s="25"/>
      <c r="J37" s="43">
        <v>2635</v>
      </c>
      <c r="K37" s="24">
        <f>"1712,7369"</f>
        <v>0</v>
      </c>
      <c r="L37" s="24"/>
    </row>
    <row r="38" spans="1:12" ht="14.25">
      <c r="A38" s="20" t="s">
        <v>2430</v>
      </c>
      <c r="B38" s="20" t="s">
        <v>2431</v>
      </c>
      <c r="C38" s="20" t="s">
        <v>1289</v>
      </c>
      <c r="D38" s="20">
        <f>"0,6745"</f>
        <v>0</v>
      </c>
      <c r="E38" s="20" t="s">
        <v>15</v>
      </c>
      <c r="F38" s="20" t="s">
        <v>22</v>
      </c>
      <c r="G38" s="20" t="s">
        <v>2050</v>
      </c>
      <c r="H38" s="21"/>
      <c r="I38" s="21"/>
      <c r="J38" s="44">
        <v>1710</v>
      </c>
      <c r="K38" s="20">
        <f>"1153,4724"</f>
        <v>0</v>
      </c>
      <c r="L38" s="20"/>
    </row>
    <row r="40" spans="1:11" ht="16.5">
      <c r="A40" s="23" t="s">
        <v>69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2" ht="14.25">
      <c r="A41" s="16" t="s">
        <v>70</v>
      </c>
      <c r="B41" s="16" t="s">
        <v>71</v>
      </c>
      <c r="C41" s="16" t="s">
        <v>278</v>
      </c>
      <c r="D41" s="16">
        <f>"0,5840"</f>
        <v>0</v>
      </c>
      <c r="E41" s="16" t="s">
        <v>15</v>
      </c>
      <c r="F41" s="16" t="s">
        <v>16</v>
      </c>
      <c r="G41" s="16" t="s">
        <v>2101</v>
      </c>
      <c r="H41" s="18"/>
      <c r="I41" s="18"/>
      <c r="J41" s="42">
        <v>2000</v>
      </c>
      <c r="K41" s="16">
        <f>"1168,1000"</f>
        <v>0</v>
      </c>
      <c r="L41" s="16"/>
    </row>
    <row r="42" spans="1:12" ht="14.25">
      <c r="A42" s="24" t="s">
        <v>2444</v>
      </c>
      <c r="B42" s="24" t="s">
        <v>2445</v>
      </c>
      <c r="C42" s="24" t="s">
        <v>2446</v>
      </c>
      <c r="D42" s="24">
        <f>"0,5848"</f>
        <v>0</v>
      </c>
      <c r="E42" s="24" t="s">
        <v>15</v>
      </c>
      <c r="F42" s="24" t="s">
        <v>16</v>
      </c>
      <c r="G42" s="24" t="s">
        <v>581</v>
      </c>
      <c r="H42" s="25"/>
      <c r="I42" s="25"/>
      <c r="J42" s="43">
        <v>4000</v>
      </c>
      <c r="K42" s="24">
        <f>"2339,2000"</f>
        <v>0</v>
      </c>
      <c r="L42" s="24"/>
    </row>
    <row r="43" spans="1:12" ht="14.25">
      <c r="A43" s="24" t="s">
        <v>2430</v>
      </c>
      <c r="B43" s="24" t="s">
        <v>3020</v>
      </c>
      <c r="C43" s="24" t="s">
        <v>3021</v>
      </c>
      <c r="D43" s="24">
        <f>"0,5898"</f>
        <v>0</v>
      </c>
      <c r="E43" s="24" t="s">
        <v>15</v>
      </c>
      <c r="F43" s="24" t="s">
        <v>24</v>
      </c>
      <c r="G43" s="24" t="s">
        <v>3022</v>
      </c>
      <c r="H43" s="25"/>
      <c r="I43" s="25"/>
      <c r="J43" s="43">
        <v>3510</v>
      </c>
      <c r="K43" s="24">
        <f>"2070,1980"</f>
        <v>0</v>
      </c>
      <c r="L43" s="24"/>
    </row>
    <row r="44" spans="1:12" ht="14.25">
      <c r="A44" s="24" t="s">
        <v>3023</v>
      </c>
      <c r="B44" s="24" t="s">
        <v>2476</v>
      </c>
      <c r="C44" s="24" t="s">
        <v>3024</v>
      </c>
      <c r="D44" s="24">
        <f>"0,5990"</f>
        <v>0</v>
      </c>
      <c r="E44" s="24" t="s">
        <v>15</v>
      </c>
      <c r="F44" s="24" t="s">
        <v>23</v>
      </c>
      <c r="G44" s="24" t="s">
        <v>2039</v>
      </c>
      <c r="H44" s="25"/>
      <c r="I44" s="25"/>
      <c r="J44" s="43">
        <v>3135</v>
      </c>
      <c r="K44" s="24">
        <f>"1877,8649"</f>
        <v>0</v>
      </c>
      <c r="L44" s="24"/>
    </row>
    <row r="45" spans="1:12" ht="14.25">
      <c r="A45" s="24" t="s">
        <v>3025</v>
      </c>
      <c r="B45" s="24" t="s">
        <v>3026</v>
      </c>
      <c r="C45" s="24" t="s">
        <v>1365</v>
      </c>
      <c r="D45" s="24">
        <f>"0,5867"</f>
        <v>0</v>
      </c>
      <c r="E45" s="24" t="s">
        <v>15</v>
      </c>
      <c r="F45" s="24" t="s">
        <v>16</v>
      </c>
      <c r="G45" s="24" t="s">
        <v>2030</v>
      </c>
      <c r="H45" s="25"/>
      <c r="I45" s="25"/>
      <c r="J45" s="43">
        <v>2500</v>
      </c>
      <c r="K45" s="24">
        <f>"1466,6250"</f>
        <v>0</v>
      </c>
      <c r="L45" s="24"/>
    </row>
    <row r="46" spans="1:12" ht="14.25">
      <c r="A46" s="24" t="s">
        <v>2430</v>
      </c>
      <c r="B46" s="24" t="s">
        <v>3027</v>
      </c>
      <c r="C46" s="24" t="s">
        <v>3021</v>
      </c>
      <c r="D46" s="24">
        <f>"0,6564"</f>
        <v>0</v>
      </c>
      <c r="E46" s="24" t="s">
        <v>15</v>
      </c>
      <c r="F46" s="24" t="s">
        <v>24</v>
      </c>
      <c r="G46" s="24" t="s">
        <v>3022</v>
      </c>
      <c r="H46" s="25"/>
      <c r="I46" s="25"/>
      <c r="J46" s="43">
        <v>3510</v>
      </c>
      <c r="K46" s="24">
        <f>"2304,1304"</f>
        <v>0</v>
      </c>
      <c r="L46" s="24"/>
    </row>
    <row r="47" spans="1:12" ht="14.25">
      <c r="A47" s="24" t="s">
        <v>2464</v>
      </c>
      <c r="B47" s="24" t="s">
        <v>2465</v>
      </c>
      <c r="C47" s="24" t="s">
        <v>1853</v>
      </c>
      <c r="D47" s="24">
        <f>"0,7035"</f>
        <v>0</v>
      </c>
      <c r="E47" s="24" t="s">
        <v>15</v>
      </c>
      <c r="F47" s="24" t="s">
        <v>16</v>
      </c>
      <c r="G47" s="24" t="s">
        <v>2056</v>
      </c>
      <c r="H47" s="25"/>
      <c r="I47" s="25"/>
      <c r="J47" s="43">
        <v>2800</v>
      </c>
      <c r="K47" s="24">
        <f>"1969,7921"</f>
        <v>0</v>
      </c>
      <c r="L47" s="24"/>
    </row>
    <row r="48" spans="1:12" ht="14.25">
      <c r="A48" s="20" t="s">
        <v>80</v>
      </c>
      <c r="B48" s="20" t="s">
        <v>81</v>
      </c>
      <c r="C48" s="20" t="s">
        <v>72</v>
      </c>
      <c r="D48" s="20">
        <f>"0,7693"</f>
        <v>0</v>
      </c>
      <c r="E48" s="20" t="s">
        <v>15</v>
      </c>
      <c r="F48" s="20" t="s">
        <v>16</v>
      </c>
      <c r="G48" s="20" t="s">
        <v>2068</v>
      </c>
      <c r="H48" s="21"/>
      <c r="I48" s="21"/>
      <c r="J48" s="44">
        <v>2300</v>
      </c>
      <c r="K48" s="20">
        <f>"1769,4837"</f>
        <v>0</v>
      </c>
      <c r="L48" s="20"/>
    </row>
    <row r="50" spans="1:11" ht="16.5">
      <c r="A50" s="23" t="s">
        <v>94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2" ht="14.25">
      <c r="A51" s="16" t="s">
        <v>3028</v>
      </c>
      <c r="B51" s="16" t="s">
        <v>3029</v>
      </c>
      <c r="C51" s="16" t="s">
        <v>3030</v>
      </c>
      <c r="D51" s="16">
        <f>"0,5727"</f>
        <v>0</v>
      </c>
      <c r="E51" s="16" t="s">
        <v>15</v>
      </c>
      <c r="F51" s="16" t="s">
        <v>217</v>
      </c>
      <c r="G51" s="16" t="s">
        <v>2051</v>
      </c>
      <c r="H51" s="18"/>
      <c r="I51" s="18"/>
      <c r="J51" s="42">
        <v>3570</v>
      </c>
      <c r="K51" s="16">
        <f>"2044,7174"</f>
        <v>0</v>
      </c>
      <c r="L51" s="16"/>
    </row>
    <row r="52" spans="1:12" ht="14.25">
      <c r="A52" s="24" t="s">
        <v>2085</v>
      </c>
      <c r="B52" s="24" t="s">
        <v>2086</v>
      </c>
      <c r="C52" s="24" t="s">
        <v>2087</v>
      </c>
      <c r="D52" s="24">
        <f>"0,5788"</f>
        <v>0</v>
      </c>
      <c r="E52" s="24" t="s">
        <v>15</v>
      </c>
      <c r="F52" s="24" t="s">
        <v>516</v>
      </c>
      <c r="G52" s="24" t="s">
        <v>2008</v>
      </c>
      <c r="H52" s="25"/>
      <c r="I52" s="25"/>
      <c r="J52" s="43">
        <v>3075</v>
      </c>
      <c r="K52" s="24">
        <f>"1779,6563"</f>
        <v>0</v>
      </c>
      <c r="L52" s="24"/>
    </row>
    <row r="53" spans="1:12" ht="14.25">
      <c r="A53" s="24" t="s">
        <v>3031</v>
      </c>
      <c r="B53" s="24" t="s">
        <v>3032</v>
      </c>
      <c r="C53" s="24" t="s">
        <v>3030</v>
      </c>
      <c r="D53" s="24">
        <f>"0,5727"</f>
        <v>0</v>
      </c>
      <c r="E53" s="24" t="s">
        <v>3033</v>
      </c>
      <c r="F53" s="24" t="s">
        <v>217</v>
      </c>
      <c r="G53" s="24" t="s">
        <v>2076</v>
      </c>
      <c r="H53" s="25"/>
      <c r="I53" s="25"/>
      <c r="J53" s="43">
        <v>3045</v>
      </c>
      <c r="K53" s="24">
        <f>"1744,0237"</f>
        <v>0</v>
      </c>
      <c r="L53" s="24"/>
    </row>
    <row r="54" spans="1:12" ht="14.25">
      <c r="A54" s="24" t="s">
        <v>2469</v>
      </c>
      <c r="B54" s="24" t="s">
        <v>2470</v>
      </c>
      <c r="C54" s="24" t="s">
        <v>1875</v>
      </c>
      <c r="D54" s="24">
        <f>"0,5670"</f>
        <v>0</v>
      </c>
      <c r="E54" s="24" t="s">
        <v>228</v>
      </c>
      <c r="F54" s="24" t="s">
        <v>260</v>
      </c>
      <c r="G54" s="24" t="s">
        <v>2040</v>
      </c>
      <c r="H54" s="25"/>
      <c r="I54" s="25"/>
      <c r="J54" s="43">
        <v>2795</v>
      </c>
      <c r="K54" s="24">
        <f>"1584,6253"</f>
        <v>0</v>
      </c>
      <c r="L54" s="24"/>
    </row>
    <row r="55" spans="1:12" ht="14.25">
      <c r="A55" s="24" t="s">
        <v>2484</v>
      </c>
      <c r="B55" s="24" t="s">
        <v>3034</v>
      </c>
      <c r="C55" s="24" t="s">
        <v>2486</v>
      </c>
      <c r="D55" s="24">
        <f>"0,5638"</f>
        <v>0</v>
      </c>
      <c r="E55" s="24" t="s">
        <v>15</v>
      </c>
      <c r="F55" s="24" t="s">
        <v>17</v>
      </c>
      <c r="G55" s="24" t="s">
        <v>3035</v>
      </c>
      <c r="H55" s="25"/>
      <c r="I55" s="25"/>
      <c r="J55" s="43">
        <v>2420</v>
      </c>
      <c r="K55" s="24">
        <f>"1364,3959"</f>
        <v>0</v>
      </c>
      <c r="L55" s="24"/>
    </row>
    <row r="56" spans="1:12" ht="14.25">
      <c r="A56" s="24" t="s">
        <v>3036</v>
      </c>
      <c r="B56" s="24" t="s">
        <v>3037</v>
      </c>
      <c r="C56" s="24" t="s">
        <v>450</v>
      </c>
      <c r="D56" s="24">
        <f>"0,5663"</f>
        <v>0</v>
      </c>
      <c r="E56" s="24" t="s">
        <v>15</v>
      </c>
      <c r="F56" s="24" t="s">
        <v>260</v>
      </c>
      <c r="G56" s="24" t="s">
        <v>2048</v>
      </c>
      <c r="H56" s="25"/>
      <c r="I56" s="25"/>
      <c r="J56" s="43">
        <v>1612.5</v>
      </c>
      <c r="K56" s="24">
        <f>"913,1587"</f>
        <v>0</v>
      </c>
      <c r="L56" s="24"/>
    </row>
    <row r="57" spans="1:12" ht="14.25">
      <c r="A57" s="24" t="s">
        <v>2479</v>
      </c>
      <c r="B57" s="24" t="s">
        <v>2480</v>
      </c>
      <c r="C57" s="24" t="s">
        <v>1108</v>
      </c>
      <c r="D57" s="24">
        <f>"0,5907"</f>
        <v>0</v>
      </c>
      <c r="E57" s="24" t="s">
        <v>15</v>
      </c>
      <c r="F57" s="24" t="s">
        <v>516</v>
      </c>
      <c r="G57" s="24" t="s">
        <v>2040</v>
      </c>
      <c r="H57" s="25"/>
      <c r="I57" s="25"/>
      <c r="J57" s="43">
        <v>2665</v>
      </c>
      <c r="K57" s="24">
        <f>"1574,3036"</f>
        <v>0</v>
      </c>
      <c r="L57" s="24"/>
    </row>
    <row r="58" spans="1:12" ht="14.25">
      <c r="A58" s="24" t="s">
        <v>2207</v>
      </c>
      <c r="B58" s="24" t="s">
        <v>2208</v>
      </c>
      <c r="C58" s="24" t="s">
        <v>2209</v>
      </c>
      <c r="D58" s="24">
        <f>"0,5974"</f>
        <v>0</v>
      </c>
      <c r="E58" s="24" t="s">
        <v>15</v>
      </c>
      <c r="F58" s="24" t="s">
        <v>516</v>
      </c>
      <c r="G58" s="24" t="s">
        <v>3035</v>
      </c>
      <c r="H58" s="25"/>
      <c r="I58" s="25"/>
      <c r="J58" s="43">
        <v>2255</v>
      </c>
      <c r="K58" s="24">
        <f>"1347,1662"</f>
        <v>0</v>
      </c>
      <c r="L58" s="24"/>
    </row>
    <row r="59" spans="1:12" ht="14.25">
      <c r="A59" s="20" t="s">
        <v>2484</v>
      </c>
      <c r="B59" s="20" t="s">
        <v>3038</v>
      </c>
      <c r="C59" s="20" t="s">
        <v>2486</v>
      </c>
      <c r="D59" s="20">
        <f>"0,6185"</f>
        <v>0</v>
      </c>
      <c r="E59" s="20" t="s">
        <v>15</v>
      </c>
      <c r="F59" s="20" t="s">
        <v>17</v>
      </c>
      <c r="G59" s="20" t="s">
        <v>3035</v>
      </c>
      <c r="H59" s="21"/>
      <c r="I59" s="21"/>
      <c r="J59" s="44">
        <v>2420</v>
      </c>
      <c r="K59" s="20">
        <f>"1496,7423"</f>
        <v>0</v>
      </c>
      <c r="L59" s="20"/>
    </row>
    <row r="61" spans="1:11" ht="16.5">
      <c r="A61" s="23" t="s">
        <v>127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2" ht="14.25">
      <c r="A62" s="16" t="s">
        <v>2500</v>
      </c>
      <c r="B62" s="16" t="s">
        <v>2501</v>
      </c>
      <c r="C62" s="16" t="s">
        <v>866</v>
      </c>
      <c r="D62" s="16">
        <f>"0,5454"</f>
        <v>0</v>
      </c>
      <c r="E62" s="16" t="s">
        <v>15</v>
      </c>
      <c r="F62" s="16" t="s">
        <v>35</v>
      </c>
      <c r="G62" s="16" t="s">
        <v>2077</v>
      </c>
      <c r="H62" s="18"/>
      <c r="I62" s="18"/>
      <c r="J62" s="42">
        <v>1250</v>
      </c>
      <c r="K62" s="16">
        <f>"681,7500"</f>
        <v>0</v>
      </c>
      <c r="L62" s="16"/>
    </row>
    <row r="63" spans="1:12" ht="14.25">
      <c r="A63" s="20" t="s">
        <v>2510</v>
      </c>
      <c r="B63" s="20" t="s">
        <v>2511</v>
      </c>
      <c r="C63" s="20" t="s">
        <v>2512</v>
      </c>
      <c r="D63" s="20">
        <f>"0,5859"</f>
        <v>0</v>
      </c>
      <c r="E63" s="20" t="s">
        <v>3039</v>
      </c>
      <c r="F63" s="20" t="s">
        <v>555</v>
      </c>
      <c r="G63" s="20" t="s">
        <v>2101</v>
      </c>
      <c r="H63" s="21"/>
      <c r="I63" s="21"/>
      <c r="J63" s="44">
        <v>2350</v>
      </c>
      <c r="K63" s="20">
        <f>"1376,8514"</f>
        <v>0</v>
      </c>
      <c r="L63" s="20"/>
    </row>
    <row r="65" spans="1:11" ht="16.5">
      <c r="A65" s="23" t="s">
        <v>140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2" ht="14.25">
      <c r="A66" s="27" t="s">
        <v>2527</v>
      </c>
      <c r="B66" s="27" t="s">
        <v>2528</v>
      </c>
      <c r="C66" s="27" t="s">
        <v>2529</v>
      </c>
      <c r="D66" s="27">
        <f>"0,5545"</f>
        <v>0</v>
      </c>
      <c r="E66" s="27" t="s">
        <v>15</v>
      </c>
      <c r="F66" s="27" t="s">
        <v>672</v>
      </c>
      <c r="G66" s="27" t="s">
        <v>2032</v>
      </c>
      <c r="H66" s="28"/>
      <c r="I66" s="28"/>
      <c r="J66" s="41">
        <v>2507.5</v>
      </c>
      <c r="K66" s="27">
        <f>"1390,4949"</f>
        <v>0</v>
      </c>
      <c r="L66" s="27"/>
    </row>
    <row r="68" ht="16.5">
      <c r="E68" s="30" t="s">
        <v>144</v>
      </c>
    </row>
    <row r="69" ht="16.5">
      <c r="E69" s="30" t="s">
        <v>145</v>
      </c>
    </row>
    <row r="70" ht="16.5">
      <c r="E70" s="30" t="s">
        <v>146</v>
      </c>
    </row>
    <row r="71" ht="14.25">
      <c r="E71" s="1" t="s">
        <v>147</v>
      </c>
    </row>
    <row r="72" ht="14.25">
      <c r="E72" s="1" t="s">
        <v>148</v>
      </c>
    </row>
    <row r="73" ht="14.25">
      <c r="E73" s="1" t="s">
        <v>149</v>
      </c>
    </row>
    <row r="75" spans="1:2" ht="18.75">
      <c r="A75" s="31" t="s">
        <v>150</v>
      </c>
      <c r="B75" s="31"/>
    </row>
    <row r="76" spans="1:2" ht="16.5">
      <c r="A76" s="32" t="s">
        <v>151</v>
      </c>
      <c r="B76" s="32"/>
    </row>
    <row r="77" spans="1:2" ht="15.75">
      <c r="A77" s="33" t="s">
        <v>160</v>
      </c>
      <c r="B77" s="34"/>
    </row>
    <row r="78" spans="1:5" ht="15.75">
      <c r="A78" s="35" t="s">
        <v>1</v>
      </c>
      <c r="B78" s="35" t="s">
        <v>153</v>
      </c>
      <c r="C78" s="35" t="s">
        <v>154</v>
      </c>
      <c r="D78" s="35" t="s">
        <v>7</v>
      </c>
      <c r="E78" s="35" t="s">
        <v>155</v>
      </c>
    </row>
    <row r="79" spans="1:5" ht="14.25">
      <c r="A79" s="36" t="s">
        <v>2982</v>
      </c>
      <c r="B79" s="1" t="s">
        <v>188</v>
      </c>
      <c r="C79" s="1" t="s">
        <v>379</v>
      </c>
      <c r="D79" s="1" t="s">
        <v>2192</v>
      </c>
      <c r="E79" s="37" t="s">
        <v>3040</v>
      </c>
    </row>
    <row r="82" spans="1:2" ht="16.5">
      <c r="A82" s="32" t="s">
        <v>164</v>
      </c>
      <c r="B82" s="32"/>
    </row>
    <row r="83" spans="1:2" ht="15.75">
      <c r="A83" s="33" t="s">
        <v>375</v>
      </c>
      <c r="B83" s="34"/>
    </row>
    <row r="84" spans="1:5" ht="15.75">
      <c r="A84" s="35" t="s">
        <v>1</v>
      </c>
      <c r="B84" s="35" t="s">
        <v>153</v>
      </c>
      <c r="C84" s="35" t="s">
        <v>154</v>
      </c>
      <c r="D84" s="35" t="s">
        <v>7</v>
      </c>
      <c r="E84" s="35" t="s">
        <v>155</v>
      </c>
    </row>
    <row r="85" spans="1:5" ht="14.25">
      <c r="A85" s="36" t="s">
        <v>2332</v>
      </c>
      <c r="B85" s="1" t="s">
        <v>917</v>
      </c>
      <c r="C85" s="1" t="s">
        <v>372</v>
      </c>
      <c r="D85" s="1" t="s">
        <v>2122</v>
      </c>
      <c r="E85" s="37" t="s">
        <v>3041</v>
      </c>
    </row>
    <row r="87" spans="1:2" ht="15.75">
      <c r="A87" s="33" t="s">
        <v>165</v>
      </c>
      <c r="B87" s="34"/>
    </row>
    <row r="88" spans="1:5" ht="15.75">
      <c r="A88" s="35" t="s">
        <v>1</v>
      </c>
      <c r="B88" s="35" t="s">
        <v>153</v>
      </c>
      <c r="C88" s="35" t="s">
        <v>154</v>
      </c>
      <c r="D88" s="35" t="s">
        <v>7</v>
      </c>
      <c r="E88" s="35" t="s">
        <v>155</v>
      </c>
    </row>
    <row r="89" spans="1:5" ht="14.25">
      <c r="A89" s="36" t="s">
        <v>70</v>
      </c>
      <c r="B89" s="1" t="s">
        <v>166</v>
      </c>
      <c r="C89" s="1" t="s">
        <v>167</v>
      </c>
      <c r="D89" s="1" t="s">
        <v>3042</v>
      </c>
      <c r="E89" s="37" t="s">
        <v>3043</v>
      </c>
    </row>
    <row r="91" spans="1:2" ht="15.75">
      <c r="A91" s="33" t="s">
        <v>152</v>
      </c>
      <c r="B91" s="34"/>
    </row>
    <row r="92" spans="1:5" ht="15.75">
      <c r="A92" s="35" t="s">
        <v>1</v>
      </c>
      <c r="B92" s="35" t="s">
        <v>153</v>
      </c>
      <c r="C92" s="35" t="s">
        <v>154</v>
      </c>
      <c r="D92" s="35" t="s">
        <v>7</v>
      </c>
      <c r="E92" s="35" t="s">
        <v>155</v>
      </c>
    </row>
    <row r="93" spans="1:5" ht="14.25">
      <c r="A93" s="36" t="s">
        <v>2987</v>
      </c>
      <c r="B93" s="1" t="s">
        <v>152</v>
      </c>
      <c r="C93" s="1" t="s">
        <v>156</v>
      </c>
      <c r="D93" s="1" t="s">
        <v>3044</v>
      </c>
      <c r="E93" s="37" t="s">
        <v>3045</v>
      </c>
    </row>
    <row r="94" spans="1:5" ht="14.25">
      <c r="A94" s="36" t="s">
        <v>2444</v>
      </c>
      <c r="B94" s="1" t="s">
        <v>152</v>
      </c>
      <c r="C94" s="1" t="s">
        <v>167</v>
      </c>
      <c r="D94" s="1" t="s">
        <v>3046</v>
      </c>
      <c r="E94" s="37" t="s">
        <v>3047</v>
      </c>
    </row>
    <row r="95" spans="1:5" ht="14.25">
      <c r="A95" s="36" t="s">
        <v>1667</v>
      </c>
      <c r="B95" s="1" t="s">
        <v>152</v>
      </c>
      <c r="C95" s="1" t="s">
        <v>171</v>
      </c>
      <c r="D95" s="1" t="s">
        <v>3048</v>
      </c>
      <c r="E95" s="37" t="s">
        <v>3049</v>
      </c>
    </row>
    <row r="96" spans="1:5" ht="14.25">
      <c r="A96" s="36" t="s">
        <v>2990</v>
      </c>
      <c r="B96" s="1" t="s">
        <v>152</v>
      </c>
      <c r="C96" s="1" t="s">
        <v>156</v>
      </c>
      <c r="D96" s="1" t="s">
        <v>2169</v>
      </c>
      <c r="E96" s="37" t="s">
        <v>3050</v>
      </c>
    </row>
    <row r="97" spans="1:5" ht="14.25">
      <c r="A97" s="36" t="s">
        <v>3001</v>
      </c>
      <c r="B97" s="1" t="s">
        <v>152</v>
      </c>
      <c r="C97" s="1" t="s">
        <v>171</v>
      </c>
      <c r="D97" s="1" t="s">
        <v>2140</v>
      </c>
      <c r="E97" s="37" t="s">
        <v>3051</v>
      </c>
    </row>
    <row r="98" spans="1:5" ht="14.25">
      <c r="A98" s="36" t="s">
        <v>2430</v>
      </c>
      <c r="B98" s="1" t="s">
        <v>152</v>
      </c>
      <c r="C98" s="1" t="s">
        <v>167</v>
      </c>
      <c r="D98" s="1" t="s">
        <v>3052</v>
      </c>
      <c r="E98" s="37" t="s">
        <v>3053</v>
      </c>
    </row>
    <row r="99" spans="1:5" ht="14.25">
      <c r="A99" s="36" t="s">
        <v>2994</v>
      </c>
      <c r="B99" s="1" t="s">
        <v>152</v>
      </c>
      <c r="C99" s="1" t="s">
        <v>156</v>
      </c>
      <c r="D99" s="1" t="s">
        <v>3054</v>
      </c>
      <c r="E99" s="37" t="s">
        <v>3055</v>
      </c>
    </row>
    <row r="100" spans="1:5" ht="14.25">
      <c r="A100" s="36" t="s">
        <v>2332</v>
      </c>
      <c r="B100" s="1" t="s">
        <v>152</v>
      </c>
      <c r="C100" s="1" t="s">
        <v>372</v>
      </c>
      <c r="D100" s="1" t="s">
        <v>2122</v>
      </c>
      <c r="E100" s="37" t="s">
        <v>3041</v>
      </c>
    </row>
    <row r="101" spans="1:5" ht="14.25">
      <c r="A101" s="36" t="s">
        <v>3028</v>
      </c>
      <c r="B101" s="1" t="s">
        <v>152</v>
      </c>
      <c r="C101" s="1" t="s">
        <v>173</v>
      </c>
      <c r="D101" s="1" t="s">
        <v>3056</v>
      </c>
      <c r="E101" s="37" t="s">
        <v>3057</v>
      </c>
    </row>
    <row r="102" spans="1:5" ht="14.25">
      <c r="A102" s="36" t="s">
        <v>2382</v>
      </c>
      <c r="B102" s="1" t="s">
        <v>152</v>
      </c>
      <c r="C102" s="1" t="s">
        <v>171</v>
      </c>
      <c r="D102" s="1" t="s">
        <v>3058</v>
      </c>
      <c r="E102" s="37" t="s">
        <v>3059</v>
      </c>
    </row>
    <row r="103" spans="1:5" ht="14.25">
      <c r="A103" s="36" t="s">
        <v>2411</v>
      </c>
      <c r="B103" s="1" t="s">
        <v>152</v>
      </c>
      <c r="C103" s="1" t="s">
        <v>181</v>
      </c>
      <c r="D103" s="1" t="s">
        <v>3060</v>
      </c>
      <c r="E103" s="37" t="s">
        <v>3061</v>
      </c>
    </row>
    <row r="104" spans="1:5" ht="14.25">
      <c r="A104" s="36" t="s">
        <v>3023</v>
      </c>
      <c r="B104" s="1" t="s">
        <v>152</v>
      </c>
      <c r="C104" s="1" t="s">
        <v>167</v>
      </c>
      <c r="D104" s="1" t="s">
        <v>3058</v>
      </c>
      <c r="E104" s="37" t="s">
        <v>3062</v>
      </c>
    </row>
    <row r="105" spans="1:5" ht="14.25">
      <c r="A105" s="36" t="s">
        <v>2085</v>
      </c>
      <c r="B105" s="1" t="s">
        <v>152</v>
      </c>
      <c r="C105" s="1" t="s">
        <v>173</v>
      </c>
      <c r="D105" s="1" t="s">
        <v>3063</v>
      </c>
      <c r="E105" s="37" t="s">
        <v>3064</v>
      </c>
    </row>
    <row r="106" spans="1:5" ht="14.25">
      <c r="A106" s="36" t="s">
        <v>3031</v>
      </c>
      <c r="B106" s="1" t="s">
        <v>152</v>
      </c>
      <c r="C106" s="1" t="s">
        <v>173</v>
      </c>
      <c r="D106" s="1" t="s">
        <v>3065</v>
      </c>
      <c r="E106" s="37" t="s">
        <v>3066</v>
      </c>
    </row>
    <row r="107" spans="1:5" ht="14.25">
      <c r="A107" s="36" t="s">
        <v>3008</v>
      </c>
      <c r="B107" s="1" t="s">
        <v>152</v>
      </c>
      <c r="C107" s="1" t="s">
        <v>181</v>
      </c>
      <c r="D107" s="1" t="s">
        <v>2161</v>
      </c>
      <c r="E107" s="37" t="s">
        <v>3067</v>
      </c>
    </row>
    <row r="108" spans="1:5" ht="14.25">
      <c r="A108" s="36" t="s">
        <v>3005</v>
      </c>
      <c r="B108" s="1" t="s">
        <v>152</v>
      </c>
      <c r="C108" s="1" t="s">
        <v>171</v>
      </c>
      <c r="D108" s="1" t="s">
        <v>3068</v>
      </c>
      <c r="E108" s="37" t="s">
        <v>3069</v>
      </c>
    </row>
    <row r="109" spans="1:5" ht="14.25">
      <c r="A109" s="36" t="s">
        <v>3011</v>
      </c>
      <c r="B109" s="1" t="s">
        <v>152</v>
      </c>
      <c r="C109" s="1" t="s">
        <v>181</v>
      </c>
      <c r="D109" s="1" t="s">
        <v>3070</v>
      </c>
      <c r="E109" s="37" t="s">
        <v>3071</v>
      </c>
    </row>
    <row r="110" spans="1:5" ht="14.25">
      <c r="A110" s="36" t="s">
        <v>2469</v>
      </c>
      <c r="B110" s="1" t="s">
        <v>152</v>
      </c>
      <c r="C110" s="1" t="s">
        <v>173</v>
      </c>
      <c r="D110" s="1" t="s">
        <v>3072</v>
      </c>
      <c r="E110" s="37" t="s">
        <v>3073</v>
      </c>
    </row>
    <row r="111" spans="1:5" ht="14.25">
      <c r="A111" s="36" t="s">
        <v>3025</v>
      </c>
      <c r="B111" s="1" t="s">
        <v>152</v>
      </c>
      <c r="C111" s="1" t="s">
        <v>167</v>
      </c>
      <c r="D111" s="1" t="s">
        <v>3074</v>
      </c>
      <c r="E111" s="37" t="s">
        <v>3075</v>
      </c>
    </row>
    <row r="112" spans="1:5" ht="14.25">
      <c r="A112" s="36" t="s">
        <v>3014</v>
      </c>
      <c r="B112" s="1" t="s">
        <v>152</v>
      </c>
      <c r="C112" s="1" t="s">
        <v>181</v>
      </c>
      <c r="D112" s="1" t="s">
        <v>3076</v>
      </c>
      <c r="E112" s="37" t="s">
        <v>3077</v>
      </c>
    </row>
    <row r="113" spans="1:5" ht="14.25">
      <c r="A113" s="36" t="s">
        <v>2484</v>
      </c>
      <c r="B113" s="1" t="s">
        <v>152</v>
      </c>
      <c r="C113" s="1" t="s">
        <v>173</v>
      </c>
      <c r="D113" s="1" t="s">
        <v>3078</v>
      </c>
      <c r="E113" s="37" t="s">
        <v>3079</v>
      </c>
    </row>
    <row r="114" spans="1:5" ht="14.25">
      <c r="A114" s="36" t="s">
        <v>3017</v>
      </c>
      <c r="B114" s="1" t="s">
        <v>152</v>
      </c>
      <c r="C114" s="1" t="s">
        <v>181</v>
      </c>
      <c r="D114" s="1" t="s">
        <v>3080</v>
      </c>
      <c r="E114" s="37" t="s">
        <v>3081</v>
      </c>
    </row>
    <row r="115" spans="1:5" ht="14.25">
      <c r="A115" s="36" t="s">
        <v>2347</v>
      </c>
      <c r="B115" s="1" t="s">
        <v>152</v>
      </c>
      <c r="C115" s="1" t="s">
        <v>158</v>
      </c>
      <c r="D115" s="1" t="s">
        <v>3082</v>
      </c>
      <c r="E115" s="37" t="s">
        <v>3083</v>
      </c>
    </row>
    <row r="116" spans="1:5" ht="14.25">
      <c r="A116" s="36" t="s">
        <v>3036</v>
      </c>
      <c r="B116" s="1" t="s">
        <v>152</v>
      </c>
      <c r="C116" s="1" t="s">
        <v>173</v>
      </c>
      <c r="D116" s="1" t="s">
        <v>3084</v>
      </c>
      <c r="E116" s="37" t="s">
        <v>3085</v>
      </c>
    </row>
    <row r="118" spans="1:2" ht="15.75">
      <c r="A118" s="33" t="s">
        <v>160</v>
      </c>
      <c r="B118" s="34"/>
    </row>
    <row r="119" spans="1:5" ht="15.75">
      <c r="A119" s="35" t="s">
        <v>1</v>
      </c>
      <c r="B119" s="35" t="s">
        <v>153</v>
      </c>
      <c r="C119" s="35" t="s">
        <v>154</v>
      </c>
      <c r="D119" s="35" t="s">
        <v>7</v>
      </c>
      <c r="E119" s="35" t="s">
        <v>155</v>
      </c>
    </row>
    <row r="120" spans="1:5" ht="14.25">
      <c r="A120" s="36" t="s">
        <v>2349</v>
      </c>
      <c r="B120" s="1" t="s">
        <v>190</v>
      </c>
      <c r="C120" s="1" t="s">
        <v>158</v>
      </c>
      <c r="D120" s="1" t="s">
        <v>3086</v>
      </c>
      <c r="E120" s="37" t="s">
        <v>3087</v>
      </c>
    </row>
    <row r="121" spans="1:5" ht="14.25">
      <c r="A121" s="36" t="s">
        <v>2430</v>
      </c>
      <c r="B121" s="1" t="s">
        <v>188</v>
      </c>
      <c r="C121" s="1" t="s">
        <v>167</v>
      </c>
      <c r="D121" s="1" t="s">
        <v>3052</v>
      </c>
      <c r="E121" s="37" t="s">
        <v>3088</v>
      </c>
    </row>
    <row r="122" spans="1:5" ht="14.25">
      <c r="A122" s="36" t="s">
        <v>2382</v>
      </c>
      <c r="B122" s="1" t="s">
        <v>188</v>
      </c>
      <c r="C122" s="1" t="s">
        <v>171</v>
      </c>
      <c r="D122" s="1" t="s">
        <v>3058</v>
      </c>
      <c r="E122" s="37" t="s">
        <v>3089</v>
      </c>
    </row>
    <row r="123" spans="1:5" ht="14.25">
      <c r="A123" s="36" t="s">
        <v>3001</v>
      </c>
      <c r="B123" s="1" t="s">
        <v>399</v>
      </c>
      <c r="C123" s="1" t="s">
        <v>171</v>
      </c>
      <c r="D123" s="1" t="s">
        <v>2140</v>
      </c>
      <c r="E123" s="37" t="s">
        <v>3090</v>
      </c>
    </row>
    <row r="124" spans="1:5" ht="14.25">
      <c r="A124" s="36" t="s">
        <v>2411</v>
      </c>
      <c r="B124" s="1" t="s">
        <v>399</v>
      </c>
      <c r="C124" s="1" t="s">
        <v>181</v>
      </c>
      <c r="D124" s="1" t="s">
        <v>3060</v>
      </c>
      <c r="E124" s="37" t="s">
        <v>3091</v>
      </c>
    </row>
    <row r="125" spans="1:5" ht="14.25">
      <c r="A125" s="36" t="s">
        <v>2464</v>
      </c>
      <c r="B125" s="1" t="s">
        <v>161</v>
      </c>
      <c r="C125" s="1" t="s">
        <v>167</v>
      </c>
      <c r="D125" s="1" t="s">
        <v>3054</v>
      </c>
      <c r="E125" s="37" t="s">
        <v>3092</v>
      </c>
    </row>
    <row r="126" spans="1:5" ht="14.25">
      <c r="A126" s="36" t="s">
        <v>80</v>
      </c>
      <c r="B126" s="1" t="s">
        <v>190</v>
      </c>
      <c r="C126" s="1" t="s">
        <v>167</v>
      </c>
      <c r="D126" s="1" t="s">
        <v>3093</v>
      </c>
      <c r="E126" s="37" t="s">
        <v>3094</v>
      </c>
    </row>
    <row r="127" spans="1:5" ht="14.25">
      <c r="A127" s="36" t="s">
        <v>3008</v>
      </c>
      <c r="B127" s="1" t="s">
        <v>399</v>
      </c>
      <c r="C127" s="1" t="s">
        <v>181</v>
      </c>
      <c r="D127" s="1" t="s">
        <v>2161</v>
      </c>
      <c r="E127" s="37" t="s">
        <v>3095</v>
      </c>
    </row>
    <row r="128" spans="1:5" ht="14.25">
      <c r="A128" s="36" t="s">
        <v>2479</v>
      </c>
      <c r="B128" s="1" t="s">
        <v>399</v>
      </c>
      <c r="C128" s="1" t="s">
        <v>173</v>
      </c>
      <c r="D128" s="1" t="s">
        <v>3096</v>
      </c>
      <c r="E128" s="37" t="s">
        <v>3097</v>
      </c>
    </row>
    <row r="129" spans="1:5" ht="14.25">
      <c r="A129" s="36" t="s">
        <v>2484</v>
      </c>
      <c r="B129" s="1" t="s">
        <v>188</v>
      </c>
      <c r="C129" s="1" t="s">
        <v>173</v>
      </c>
      <c r="D129" s="1" t="s">
        <v>3078</v>
      </c>
      <c r="E129" s="37" t="s">
        <v>3098</v>
      </c>
    </row>
    <row r="130" spans="1:5" ht="14.25">
      <c r="A130" s="36" t="s">
        <v>2527</v>
      </c>
      <c r="B130" s="1" t="s">
        <v>188</v>
      </c>
      <c r="C130" s="1" t="s">
        <v>194</v>
      </c>
      <c r="D130" s="1" t="s">
        <v>3099</v>
      </c>
      <c r="E130" s="37" t="s">
        <v>3100</v>
      </c>
    </row>
    <row r="131" spans="1:5" ht="14.25">
      <c r="A131" s="36" t="s">
        <v>2510</v>
      </c>
      <c r="B131" s="1" t="s">
        <v>188</v>
      </c>
      <c r="C131" s="1" t="s">
        <v>169</v>
      </c>
      <c r="D131" s="1" t="s">
        <v>3101</v>
      </c>
      <c r="E131" s="37" t="s">
        <v>3102</v>
      </c>
    </row>
    <row r="132" spans="1:5" ht="14.25">
      <c r="A132" s="36" t="s">
        <v>2207</v>
      </c>
      <c r="B132" s="1" t="s">
        <v>399</v>
      </c>
      <c r="C132" s="1" t="s">
        <v>173</v>
      </c>
      <c r="D132" s="1" t="s">
        <v>3103</v>
      </c>
      <c r="E132" s="37" t="s">
        <v>3104</v>
      </c>
    </row>
    <row r="133" spans="1:5" ht="14.25">
      <c r="A133" s="36" t="s">
        <v>2430</v>
      </c>
      <c r="B133" s="1" t="s">
        <v>188</v>
      </c>
      <c r="C133" s="1" t="s">
        <v>181</v>
      </c>
      <c r="D133" s="1" t="s">
        <v>3105</v>
      </c>
      <c r="E133" s="37" t="s">
        <v>3106</v>
      </c>
    </row>
  </sheetData>
  <sheetProtection selectLockedCells="1" selectUnlockedCells="1"/>
  <mergeCells count="20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8:K8"/>
    <mergeCell ref="A12:K12"/>
    <mergeCell ref="A16:K16"/>
    <mergeCell ref="A22:K22"/>
    <mergeCell ref="A30:K30"/>
    <mergeCell ref="A40:K40"/>
    <mergeCell ref="A50:K50"/>
    <mergeCell ref="A61:K61"/>
    <mergeCell ref="A65:K6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31" sqref="A31"/>
    </sheetView>
  </sheetViews>
  <sheetFormatPr defaultColWidth="9.00390625" defaultRowHeight="12.75"/>
  <cols>
    <col min="1" max="1" width="28.50390625" style="59" customWidth="1"/>
    <col min="2" max="2" width="26.50390625" style="60" customWidth="1"/>
    <col min="3" max="3" width="6.875" style="60" customWidth="1"/>
    <col min="4" max="4" width="6.50390625" style="60" customWidth="1"/>
    <col min="5" max="5" width="17.00390625" style="61" customWidth="1"/>
    <col min="6" max="6" width="4.50390625" style="60" customWidth="1"/>
    <col min="7" max="7" width="7.375" style="60" customWidth="1"/>
    <col min="8" max="8" width="2.125" style="60" customWidth="1"/>
    <col min="9" max="9" width="4.50390625" style="60" customWidth="1"/>
    <col min="10" max="10" width="6.375" style="59" customWidth="1"/>
    <col min="11" max="11" width="9.50390625" style="60" customWidth="1"/>
    <col min="12" max="12" width="7.125" style="61" customWidth="1"/>
    <col min="13" max="16384" width="9.125" style="4" customWidth="1"/>
  </cols>
  <sheetData>
    <row r="1" spans="1:12" ht="15" customHeight="1">
      <c r="A1" s="3" t="s">
        <v>3107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58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2001</v>
      </c>
      <c r="C3" s="6" t="s">
        <v>3</v>
      </c>
      <c r="D3" s="7" t="s">
        <v>4</v>
      </c>
      <c r="E3" s="7" t="s">
        <v>5</v>
      </c>
      <c r="F3" s="90" t="s">
        <v>6</v>
      </c>
      <c r="G3" s="90"/>
      <c r="H3" s="90"/>
      <c r="I3" s="90"/>
      <c r="J3" s="7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3" t="s">
        <v>2002</v>
      </c>
      <c r="G4" s="13" t="s">
        <v>2003</v>
      </c>
      <c r="H4" s="13">
        <v>3</v>
      </c>
      <c r="I4" s="14" t="s">
        <v>10</v>
      </c>
      <c r="J4" s="7"/>
      <c r="K4" s="7"/>
      <c r="L4" s="10"/>
    </row>
    <row r="5" spans="1:12" s="60" customFormat="1" ht="16.5">
      <c r="A5" s="62" t="s">
        <v>202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1"/>
    </row>
    <row r="6" spans="1:12" s="60" customFormat="1" ht="14.25">
      <c r="A6" s="68" t="s">
        <v>2308</v>
      </c>
      <c r="B6" s="69" t="s">
        <v>2309</v>
      </c>
      <c r="C6" s="69" t="s">
        <v>2310</v>
      </c>
      <c r="D6" s="69">
        <f>"0,9997"</f>
        <v>0</v>
      </c>
      <c r="E6" s="24" t="s">
        <v>15</v>
      </c>
      <c r="F6" s="69" t="s">
        <v>2008</v>
      </c>
      <c r="G6" s="69" t="s">
        <v>594</v>
      </c>
      <c r="H6" s="71"/>
      <c r="I6" s="71"/>
      <c r="J6" s="68">
        <v>1500</v>
      </c>
      <c r="K6" s="69">
        <f>"1499,5500"</f>
        <v>0</v>
      </c>
      <c r="L6" s="70"/>
    </row>
    <row r="7" spans="1:12" s="60" customFormat="1" ht="14.25">
      <c r="A7" s="72" t="s">
        <v>2308</v>
      </c>
      <c r="B7" s="73" t="s">
        <v>2313</v>
      </c>
      <c r="C7" s="73" t="s">
        <v>2310</v>
      </c>
      <c r="D7" s="73">
        <f>"1,0547"</f>
        <v>0</v>
      </c>
      <c r="E7" s="24" t="s">
        <v>15</v>
      </c>
      <c r="F7" s="73" t="s">
        <v>2008</v>
      </c>
      <c r="G7" s="73" t="s">
        <v>594</v>
      </c>
      <c r="H7" s="75"/>
      <c r="I7" s="75"/>
      <c r="J7" s="72">
        <v>1500</v>
      </c>
      <c r="K7" s="73">
        <f>"1582,0253"</f>
        <v>0</v>
      </c>
      <c r="L7" s="74"/>
    </row>
    <row r="9" spans="1:11" ht="16.5">
      <c r="A9" s="67" t="s">
        <v>25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2" ht="14.25">
      <c r="A10" s="63" t="s">
        <v>2855</v>
      </c>
      <c r="B10" s="64" t="s">
        <v>2856</v>
      </c>
      <c r="C10" s="64" t="s">
        <v>3108</v>
      </c>
      <c r="D10" s="64">
        <f>"0,8871"</f>
        <v>0</v>
      </c>
      <c r="E10" s="65" t="s">
        <v>15</v>
      </c>
      <c r="F10" s="64" t="s">
        <v>580</v>
      </c>
      <c r="G10" s="64" t="s">
        <v>2071</v>
      </c>
      <c r="H10" s="66"/>
      <c r="I10" s="66"/>
      <c r="J10" s="63">
        <v>1365</v>
      </c>
      <c r="K10" s="64">
        <f>"1210,9597"</f>
        <v>0</v>
      </c>
      <c r="L10" s="65"/>
    </row>
    <row r="12" spans="1:11" ht="16.5">
      <c r="A12" s="67" t="s">
        <v>213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2" ht="14.25">
      <c r="A13" s="63" t="s">
        <v>2323</v>
      </c>
      <c r="B13" s="64" t="s">
        <v>2324</v>
      </c>
      <c r="C13" s="64" t="s">
        <v>2325</v>
      </c>
      <c r="D13" s="64">
        <f>"1,0076"</f>
        <v>0</v>
      </c>
      <c r="E13" s="65" t="s">
        <v>638</v>
      </c>
      <c r="F13" s="64" t="s">
        <v>2007</v>
      </c>
      <c r="G13" s="64" t="s">
        <v>2012</v>
      </c>
      <c r="H13" s="66"/>
      <c r="I13" s="66"/>
      <c r="J13" s="63">
        <v>577.5</v>
      </c>
      <c r="K13" s="64">
        <f>"581,8890"</f>
        <v>0</v>
      </c>
      <c r="L13" s="65"/>
    </row>
    <row r="15" spans="1:11" ht="16.5">
      <c r="A15" s="67" t="s">
        <v>25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2" ht="14.25">
      <c r="A16" s="63" t="s">
        <v>3109</v>
      </c>
      <c r="B16" s="64" t="s">
        <v>3110</v>
      </c>
      <c r="C16" s="64" t="s">
        <v>3111</v>
      </c>
      <c r="D16" s="64">
        <f>"0,7344"</f>
        <v>0</v>
      </c>
      <c r="E16" s="24" t="s">
        <v>15</v>
      </c>
      <c r="F16" s="64" t="s">
        <v>580</v>
      </c>
      <c r="G16" s="64" t="s">
        <v>3112</v>
      </c>
      <c r="H16" s="66"/>
      <c r="I16" s="66"/>
      <c r="J16" s="63">
        <v>490</v>
      </c>
      <c r="K16" s="64">
        <f>"359,8418"</f>
        <v>0</v>
      </c>
      <c r="L16" s="65"/>
    </row>
    <row r="18" spans="1:11" ht="16.5">
      <c r="A18" s="67" t="s">
        <v>69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2" ht="14.25">
      <c r="A19" s="68" t="s">
        <v>3113</v>
      </c>
      <c r="B19" s="69" t="s">
        <v>3114</v>
      </c>
      <c r="C19" s="69" t="s">
        <v>3115</v>
      </c>
      <c r="D19" s="69">
        <f>"0,6097"</f>
        <v>0</v>
      </c>
      <c r="E19" s="24" t="s">
        <v>15</v>
      </c>
      <c r="F19" s="69" t="s">
        <v>2302</v>
      </c>
      <c r="G19" s="69" t="s">
        <v>3116</v>
      </c>
      <c r="H19" s="71"/>
      <c r="I19" s="71"/>
      <c r="J19" s="68">
        <v>4655</v>
      </c>
      <c r="K19" s="69">
        <f>"2837,9208"</f>
        <v>0</v>
      </c>
      <c r="L19" s="70"/>
    </row>
    <row r="20" spans="1:12" ht="14.25">
      <c r="A20" s="72" t="s">
        <v>2439</v>
      </c>
      <c r="B20" s="73" t="s">
        <v>2440</v>
      </c>
      <c r="C20" s="73" t="s">
        <v>2441</v>
      </c>
      <c r="D20" s="73">
        <f>"0,5875"</f>
        <v>0</v>
      </c>
      <c r="E20" s="24" t="s">
        <v>15</v>
      </c>
      <c r="F20" s="73" t="s">
        <v>594</v>
      </c>
      <c r="G20" s="73" t="s">
        <v>3117</v>
      </c>
      <c r="H20" s="75"/>
      <c r="I20" s="75"/>
      <c r="J20" s="72">
        <v>2700</v>
      </c>
      <c r="K20" s="73">
        <f>"1586,1151"</f>
        <v>0</v>
      </c>
      <c r="L20" s="74"/>
    </row>
    <row r="22" ht="16.5">
      <c r="E22" s="80" t="s">
        <v>144</v>
      </c>
    </row>
    <row r="23" ht="16.5">
      <c r="E23" s="80" t="s">
        <v>145</v>
      </c>
    </row>
    <row r="24" ht="16.5">
      <c r="E24" s="80" t="s">
        <v>146</v>
      </c>
    </row>
    <row r="25" ht="14.25">
      <c r="E25" s="61" t="s">
        <v>147</v>
      </c>
    </row>
    <row r="26" ht="14.25">
      <c r="E26" s="61" t="s">
        <v>148</v>
      </c>
    </row>
    <row r="27" ht="14.25">
      <c r="E27" s="61" t="s">
        <v>149</v>
      </c>
    </row>
    <row r="31" spans="1:2" ht="18.75">
      <c r="A31" s="81" t="s">
        <v>150</v>
      </c>
      <c r="B31" s="82"/>
    </row>
    <row r="32" spans="1:2" ht="16.5">
      <c r="A32" s="83" t="s">
        <v>151</v>
      </c>
      <c r="B32" s="84"/>
    </row>
    <row r="33" spans="1:2" ht="15.75">
      <c r="A33" s="85" t="s">
        <v>152</v>
      </c>
      <c r="B33" s="86"/>
    </row>
    <row r="34" spans="1:5" ht="15.75">
      <c r="A34" s="87" t="s">
        <v>1</v>
      </c>
      <c r="B34" s="87" t="s">
        <v>153</v>
      </c>
      <c r="C34" s="87" t="s">
        <v>154</v>
      </c>
      <c r="D34" s="87" t="s">
        <v>7</v>
      </c>
      <c r="E34" s="87" t="s">
        <v>155</v>
      </c>
    </row>
    <row r="35" spans="1:5" ht="14.25">
      <c r="A35" s="88" t="s">
        <v>2308</v>
      </c>
      <c r="B35" s="60" t="s">
        <v>152</v>
      </c>
      <c r="C35" s="60" t="s">
        <v>372</v>
      </c>
      <c r="D35" s="60" t="s">
        <v>2027</v>
      </c>
      <c r="E35" s="59" t="s">
        <v>3118</v>
      </c>
    </row>
    <row r="36" spans="1:5" ht="14.25">
      <c r="A36" s="88" t="s">
        <v>2855</v>
      </c>
      <c r="B36" s="60" t="s">
        <v>152</v>
      </c>
      <c r="C36" s="60" t="s">
        <v>156</v>
      </c>
      <c r="D36" s="60" t="s">
        <v>3119</v>
      </c>
      <c r="E36" s="59" t="s">
        <v>3120</v>
      </c>
    </row>
    <row r="38" spans="1:2" ht="15.75">
      <c r="A38" s="85" t="s">
        <v>160</v>
      </c>
      <c r="B38" s="86"/>
    </row>
    <row r="39" spans="1:5" ht="15.75">
      <c r="A39" s="87" t="s">
        <v>1</v>
      </c>
      <c r="B39" s="87" t="s">
        <v>153</v>
      </c>
      <c r="C39" s="87" t="s">
        <v>154</v>
      </c>
      <c r="D39" s="87" t="s">
        <v>7</v>
      </c>
      <c r="E39" s="87" t="s">
        <v>155</v>
      </c>
    </row>
    <row r="40" spans="1:5" ht="14.25">
      <c r="A40" s="88" t="s">
        <v>2308</v>
      </c>
      <c r="B40" s="60" t="s">
        <v>188</v>
      </c>
      <c r="C40" s="60" t="s">
        <v>372</v>
      </c>
      <c r="D40" s="60" t="s">
        <v>2027</v>
      </c>
      <c r="E40" s="59" t="s">
        <v>3121</v>
      </c>
    </row>
    <row r="43" spans="1:2" ht="16.5">
      <c r="A43" s="83" t="s">
        <v>164</v>
      </c>
      <c r="B43" s="84"/>
    </row>
    <row r="44" spans="1:2" ht="15.75">
      <c r="A44" s="85" t="s">
        <v>375</v>
      </c>
      <c r="B44" s="86"/>
    </row>
    <row r="45" spans="1:5" ht="15.75">
      <c r="A45" s="87" t="s">
        <v>1</v>
      </c>
      <c r="B45" s="87" t="s">
        <v>153</v>
      </c>
      <c r="C45" s="87" t="s">
        <v>154</v>
      </c>
      <c r="D45" s="87" t="s">
        <v>7</v>
      </c>
      <c r="E45" s="87" t="s">
        <v>155</v>
      </c>
    </row>
    <row r="46" spans="1:5" ht="14.25">
      <c r="A46" s="88" t="s">
        <v>3113</v>
      </c>
      <c r="B46" s="60" t="s">
        <v>917</v>
      </c>
      <c r="C46" s="60" t="s">
        <v>167</v>
      </c>
      <c r="D46" s="60" t="s">
        <v>3122</v>
      </c>
      <c r="E46" s="59" t="s">
        <v>3123</v>
      </c>
    </row>
    <row r="47" spans="1:5" ht="14.25">
      <c r="A47" s="88" t="s">
        <v>2439</v>
      </c>
      <c r="B47" s="60" t="s">
        <v>376</v>
      </c>
      <c r="C47" s="60" t="s">
        <v>167</v>
      </c>
      <c r="D47" s="60" t="s">
        <v>3124</v>
      </c>
      <c r="E47" s="59" t="s">
        <v>3125</v>
      </c>
    </row>
    <row r="48" spans="1:5" ht="14.25">
      <c r="A48" s="88" t="s">
        <v>2323</v>
      </c>
      <c r="B48" s="60" t="s">
        <v>921</v>
      </c>
      <c r="C48" s="60" t="s">
        <v>379</v>
      </c>
      <c r="D48" s="60" t="s">
        <v>1966</v>
      </c>
      <c r="E48" s="59" t="s">
        <v>3126</v>
      </c>
    </row>
    <row r="50" spans="1:2" ht="15.75">
      <c r="A50" s="85" t="s">
        <v>160</v>
      </c>
      <c r="B50" s="86"/>
    </row>
    <row r="51" spans="1:5" ht="15.75">
      <c r="A51" s="87" t="s">
        <v>1</v>
      </c>
      <c r="B51" s="87" t="s">
        <v>153</v>
      </c>
      <c r="C51" s="87" t="s">
        <v>154</v>
      </c>
      <c r="D51" s="87" t="s">
        <v>7</v>
      </c>
      <c r="E51" s="87" t="s">
        <v>155</v>
      </c>
    </row>
    <row r="52" spans="1:5" ht="14.25">
      <c r="A52" s="88" t="s">
        <v>3109</v>
      </c>
      <c r="B52" s="60" t="s">
        <v>399</v>
      </c>
      <c r="C52" s="60" t="s">
        <v>156</v>
      </c>
      <c r="D52" s="60" t="s">
        <v>1742</v>
      </c>
      <c r="E52" s="59" t="s">
        <v>3127</v>
      </c>
    </row>
  </sheetData>
  <sheetProtection selectLockedCells="1" selectUnlockedCells="1"/>
  <mergeCells count="15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9:K9"/>
    <mergeCell ref="A12:K12"/>
    <mergeCell ref="A15:K15"/>
    <mergeCell ref="A18:K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25">
      <selection activeCell="G27" sqref="G27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9" width="5.50390625" style="1" customWidth="1"/>
    <col min="10" max="10" width="6.375" style="37" customWidth="1"/>
    <col min="11" max="11" width="8.50390625" style="1" customWidth="1"/>
    <col min="12" max="12" width="7.125" style="1" customWidth="1"/>
  </cols>
  <sheetData>
    <row r="1" spans="1:12" s="4" customFormat="1" ht="15" customHeight="1">
      <c r="A1" s="3" t="s">
        <v>409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4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8"/>
      <c r="H3" s="8"/>
      <c r="I3" s="8"/>
      <c r="J3" s="40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40"/>
      <c r="K4" s="7"/>
      <c r="L4" s="10"/>
    </row>
    <row r="5" spans="1:11" ht="16.5">
      <c r="A5" s="15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27" t="s">
        <v>410</v>
      </c>
      <c r="B6" s="27" t="s">
        <v>411</v>
      </c>
      <c r="C6" s="27" t="s">
        <v>34</v>
      </c>
      <c r="D6" s="27">
        <f>"1,4271"</f>
        <v>0</v>
      </c>
      <c r="E6" s="27" t="s">
        <v>412</v>
      </c>
      <c r="F6" s="28" t="s">
        <v>217</v>
      </c>
      <c r="G6" s="28"/>
      <c r="H6" s="28"/>
      <c r="I6" s="28"/>
      <c r="J6" s="41">
        <v>0</v>
      </c>
      <c r="K6" s="27">
        <f>"0,0000"</f>
        <v>0</v>
      </c>
      <c r="L6" s="27"/>
    </row>
    <row r="8" spans="1:11" ht="16.5">
      <c r="A8" s="23" t="s">
        <v>49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14.25">
      <c r="A9" s="16" t="s">
        <v>413</v>
      </c>
      <c r="B9" s="16" t="s">
        <v>414</v>
      </c>
      <c r="C9" s="16" t="s">
        <v>415</v>
      </c>
      <c r="D9" s="16">
        <f aca="true" t="shared" si="0" ref="D9:D10">"0,6456"</f>
        <v>0</v>
      </c>
      <c r="E9" s="16" t="s">
        <v>223</v>
      </c>
      <c r="F9" s="18" t="s">
        <v>282</v>
      </c>
      <c r="G9" s="16" t="s">
        <v>79</v>
      </c>
      <c r="H9" s="16" t="s">
        <v>416</v>
      </c>
      <c r="I9" s="18"/>
      <c r="J9" s="42">
        <v>285</v>
      </c>
      <c r="K9" s="16">
        <f>"183,9960"</f>
        <v>0</v>
      </c>
      <c r="L9" s="16"/>
    </row>
    <row r="10" spans="1:12" ht="14.25">
      <c r="A10" s="24" t="s">
        <v>417</v>
      </c>
      <c r="B10" s="24" t="s">
        <v>418</v>
      </c>
      <c r="C10" s="24" t="s">
        <v>415</v>
      </c>
      <c r="D10" s="24">
        <f t="shared" si="0"/>
        <v>0</v>
      </c>
      <c r="E10" s="24" t="s">
        <v>223</v>
      </c>
      <c r="F10" s="25" t="s">
        <v>240</v>
      </c>
      <c r="G10" s="24" t="s">
        <v>240</v>
      </c>
      <c r="H10" s="24" t="s">
        <v>87</v>
      </c>
      <c r="I10" s="25"/>
      <c r="J10" s="43">
        <v>200</v>
      </c>
      <c r="K10" s="24">
        <f>"129,1200"</f>
        <v>0</v>
      </c>
      <c r="L10" s="24"/>
    </row>
    <row r="11" spans="1:12" ht="14.25">
      <c r="A11" s="24" t="s">
        <v>229</v>
      </c>
      <c r="B11" s="24" t="s">
        <v>230</v>
      </c>
      <c r="C11" s="24" t="s">
        <v>231</v>
      </c>
      <c r="D11" s="24">
        <f>"0,6513"</f>
        <v>0</v>
      </c>
      <c r="E11" s="24" t="s">
        <v>232</v>
      </c>
      <c r="F11" s="25" t="s">
        <v>41</v>
      </c>
      <c r="G11" s="25" t="s">
        <v>41</v>
      </c>
      <c r="H11" s="25" t="s">
        <v>41</v>
      </c>
      <c r="I11" s="25"/>
      <c r="J11" s="43">
        <v>0</v>
      </c>
      <c r="K11" s="24">
        <f>"0,0000"</f>
        <v>0</v>
      </c>
      <c r="L11" s="24"/>
    </row>
    <row r="12" spans="1:12" ht="14.25">
      <c r="A12" s="20" t="s">
        <v>417</v>
      </c>
      <c r="B12" s="20" t="s">
        <v>419</v>
      </c>
      <c r="C12" s="20" t="s">
        <v>415</v>
      </c>
      <c r="D12" s="20">
        <f>"0,8490"</f>
        <v>0</v>
      </c>
      <c r="E12" s="20" t="s">
        <v>223</v>
      </c>
      <c r="F12" s="21" t="s">
        <v>240</v>
      </c>
      <c r="G12" s="20" t="s">
        <v>240</v>
      </c>
      <c r="H12" s="20" t="s">
        <v>87</v>
      </c>
      <c r="I12" s="21"/>
      <c r="J12" s="44">
        <v>200</v>
      </c>
      <c r="K12" s="20">
        <f>"169,7928"</f>
        <v>0</v>
      </c>
      <c r="L12" s="20"/>
    </row>
    <row r="14" spans="1:11" ht="16.5">
      <c r="A14" s="23" t="s">
        <v>63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2" ht="14.25">
      <c r="A15" s="16" t="s">
        <v>420</v>
      </c>
      <c r="B15" s="16" t="s">
        <v>421</v>
      </c>
      <c r="C15" s="16" t="s">
        <v>422</v>
      </c>
      <c r="D15" s="16">
        <f>"0,6145"</f>
        <v>0</v>
      </c>
      <c r="E15" s="16" t="s">
        <v>67</v>
      </c>
      <c r="F15" s="18" t="s">
        <v>41</v>
      </c>
      <c r="G15" s="16" t="s">
        <v>41</v>
      </c>
      <c r="H15" s="16" t="s">
        <v>68</v>
      </c>
      <c r="I15" s="18"/>
      <c r="J15" s="42">
        <v>260</v>
      </c>
      <c r="K15" s="16">
        <f>"159,7830"</f>
        <v>0</v>
      </c>
      <c r="L15" s="16"/>
    </row>
    <row r="16" spans="1:12" ht="14.25">
      <c r="A16" s="24" t="s">
        <v>423</v>
      </c>
      <c r="B16" s="24" t="s">
        <v>424</v>
      </c>
      <c r="C16" s="24" t="s">
        <v>425</v>
      </c>
      <c r="D16" s="24">
        <f>"0,6126"</f>
        <v>0</v>
      </c>
      <c r="E16" s="24" t="s">
        <v>67</v>
      </c>
      <c r="F16" s="25" t="s">
        <v>88</v>
      </c>
      <c r="G16" s="25" t="s">
        <v>349</v>
      </c>
      <c r="H16" s="25"/>
      <c r="I16" s="25"/>
      <c r="J16" s="43">
        <v>0</v>
      </c>
      <c r="K16" s="24">
        <f>"0,0000"</f>
        <v>0</v>
      </c>
      <c r="L16" s="24"/>
    </row>
    <row r="17" spans="1:12" ht="14.25">
      <c r="A17" s="20" t="s">
        <v>426</v>
      </c>
      <c r="B17" s="20" t="s">
        <v>427</v>
      </c>
      <c r="C17" s="20" t="s">
        <v>428</v>
      </c>
      <c r="D17" s="20">
        <f>"0,7763"</f>
        <v>0</v>
      </c>
      <c r="E17" s="20" t="s">
        <v>15</v>
      </c>
      <c r="F17" s="20" t="s">
        <v>316</v>
      </c>
      <c r="G17" s="20" t="s">
        <v>429</v>
      </c>
      <c r="H17" s="21" t="s">
        <v>279</v>
      </c>
      <c r="I17" s="21"/>
      <c r="J17" s="44">
        <v>245</v>
      </c>
      <c r="K17" s="20">
        <f>"190,2016"</f>
        <v>0</v>
      </c>
      <c r="L17" s="20"/>
    </row>
    <row r="19" spans="1:11" ht="16.5">
      <c r="A19" s="23" t="s">
        <v>69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2" ht="14.25">
      <c r="A20" s="27" t="s">
        <v>430</v>
      </c>
      <c r="B20" s="27" t="s">
        <v>431</v>
      </c>
      <c r="C20" s="27" t="s">
        <v>286</v>
      </c>
      <c r="D20" s="27">
        <f>"0,5828"</f>
        <v>0</v>
      </c>
      <c r="E20" s="27" t="s">
        <v>67</v>
      </c>
      <c r="F20" s="28" t="s">
        <v>68</v>
      </c>
      <c r="G20" s="28" t="s">
        <v>68</v>
      </c>
      <c r="H20" s="27" t="s">
        <v>68</v>
      </c>
      <c r="I20" s="28"/>
      <c r="J20" s="41">
        <v>260</v>
      </c>
      <c r="K20" s="27">
        <f>"151,5280"</f>
        <v>0</v>
      </c>
      <c r="L20" s="27"/>
    </row>
    <row r="22" spans="1:11" ht="16.5">
      <c r="A22" s="23" t="s">
        <v>94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2" ht="14.25">
      <c r="A23" s="45" t="s">
        <v>432</v>
      </c>
      <c r="B23" s="45" t="s">
        <v>433</v>
      </c>
      <c r="C23" s="45" t="s">
        <v>434</v>
      </c>
      <c r="D23" s="45">
        <f>"0,5738"</f>
        <v>0</v>
      </c>
      <c r="E23" s="45" t="s">
        <v>369</v>
      </c>
      <c r="F23" s="45" t="s">
        <v>99</v>
      </c>
      <c r="G23" s="46" t="s">
        <v>364</v>
      </c>
      <c r="H23" s="46" t="s">
        <v>435</v>
      </c>
      <c r="I23" s="47"/>
      <c r="J23" s="48" t="s">
        <v>436</v>
      </c>
      <c r="K23" s="49" t="s">
        <v>437</v>
      </c>
      <c r="L23" s="45"/>
    </row>
    <row r="24" spans="1:12" ht="14.25">
      <c r="A24" s="50" t="s">
        <v>438</v>
      </c>
      <c r="B24" s="50" t="s">
        <v>439</v>
      </c>
      <c r="C24" s="50" t="s">
        <v>440</v>
      </c>
      <c r="D24" s="50">
        <f>"0,5625"</f>
        <v>0</v>
      </c>
      <c r="E24" s="50" t="s">
        <v>15</v>
      </c>
      <c r="F24" s="50" t="s">
        <v>79</v>
      </c>
      <c r="G24" s="51" t="s">
        <v>110</v>
      </c>
      <c r="H24" s="50" t="s">
        <v>105</v>
      </c>
      <c r="I24" s="52"/>
      <c r="J24" s="53">
        <v>305</v>
      </c>
      <c r="K24" s="54">
        <f>"171,5625"</f>
        <v>0</v>
      </c>
      <c r="L24" s="50"/>
    </row>
    <row r="25" spans="1:12" ht="14.25">
      <c r="A25" s="24" t="s">
        <v>107</v>
      </c>
      <c r="B25" s="24" t="s">
        <v>108</v>
      </c>
      <c r="C25" s="24" t="s">
        <v>109</v>
      </c>
      <c r="D25" s="24">
        <f>"0,5724"</f>
        <v>0</v>
      </c>
      <c r="E25" s="24" t="s">
        <v>67</v>
      </c>
      <c r="F25" s="24" t="s">
        <v>104</v>
      </c>
      <c r="G25" s="25" t="s">
        <v>441</v>
      </c>
      <c r="H25" s="25" t="s">
        <v>441</v>
      </c>
      <c r="I25" s="25"/>
      <c r="J25" s="43">
        <v>290</v>
      </c>
      <c r="K25" s="24">
        <f>"165,9960"</f>
        <v>0</v>
      </c>
      <c r="L25" s="24"/>
    </row>
    <row r="26" spans="1:12" ht="14.25">
      <c r="A26" s="24" t="s">
        <v>442</v>
      </c>
      <c r="B26" s="24" t="s">
        <v>443</v>
      </c>
      <c r="C26" s="24" t="s">
        <v>444</v>
      </c>
      <c r="D26" s="24">
        <f>"0,5634"</f>
        <v>0</v>
      </c>
      <c r="E26" s="24" t="s">
        <v>223</v>
      </c>
      <c r="F26" s="25" t="s">
        <v>42</v>
      </c>
      <c r="G26" s="24" t="s">
        <v>42</v>
      </c>
      <c r="H26" s="25" t="s">
        <v>68</v>
      </c>
      <c r="I26" s="25"/>
      <c r="J26" s="43">
        <v>250</v>
      </c>
      <c r="K26" s="24">
        <f>"140,8375"</f>
        <v>0</v>
      </c>
      <c r="L26" s="24"/>
    </row>
    <row r="27" spans="1:12" ht="14.25">
      <c r="A27" s="24" t="s">
        <v>445</v>
      </c>
      <c r="B27" s="24" t="s">
        <v>446</v>
      </c>
      <c r="C27" s="24" t="s">
        <v>447</v>
      </c>
      <c r="D27" s="24">
        <f>"0,5671"</f>
        <v>0</v>
      </c>
      <c r="E27" s="24" t="s">
        <v>15</v>
      </c>
      <c r="F27" s="25" t="s">
        <v>104</v>
      </c>
      <c r="G27" s="25" t="s">
        <v>104</v>
      </c>
      <c r="H27" s="25" t="s">
        <v>353</v>
      </c>
      <c r="I27" s="25"/>
      <c r="J27" s="43">
        <v>0</v>
      </c>
      <c r="K27" s="24">
        <f>"0,0000"</f>
        <v>0</v>
      </c>
      <c r="L27" s="24"/>
    </row>
    <row r="28" spans="1:12" ht="14.25">
      <c r="A28" s="24" t="s">
        <v>448</v>
      </c>
      <c r="B28" s="24" t="s">
        <v>449</v>
      </c>
      <c r="C28" s="24" t="s">
        <v>450</v>
      </c>
      <c r="D28" s="24">
        <f>"0,6127"</f>
        <v>0</v>
      </c>
      <c r="E28" s="24" t="s">
        <v>223</v>
      </c>
      <c r="F28" s="24" t="s">
        <v>78</v>
      </c>
      <c r="G28" s="25" t="s">
        <v>429</v>
      </c>
      <c r="H28" s="25" t="s">
        <v>337</v>
      </c>
      <c r="I28" s="25"/>
      <c r="J28" s="43">
        <v>230</v>
      </c>
      <c r="K28" s="24">
        <f>"140,9294"</f>
        <v>0</v>
      </c>
      <c r="L28" s="24"/>
    </row>
    <row r="29" spans="1:12" ht="14.25">
      <c r="A29" s="24" t="s">
        <v>445</v>
      </c>
      <c r="B29" s="24" t="s">
        <v>451</v>
      </c>
      <c r="C29" s="24" t="s">
        <v>447</v>
      </c>
      <c r="D29" s="24">
        <f>"0,6221"</f>
        <v>0</v>
      </c>
      <c r="E29" s="24" t="s">
        <v>15</v>
      </c>
      <c r="F29" s="25" t="s">
        <v>104</v>
      </c>
      <c r="G29" s="25" t="s">
        <v>104</v>
      </c>
      <c r="H29" s="25" t="s">
        <v>353</v>
      </c>
      <c r="I29" s="25"/>
      <c r="J29" s="43">
        <v>0</v>
      </c>
      <c r="K29" s="24">
        <f>"0,0000"</f>
        <v>0</v>
      </c>
      <c r="L29" s="24"/>
    </row>
    <row r="30" spans="1:12" ht="14.25">
      <c r="A30" s="24" t="s">
        <v>452</v>
      </c>
      <c r="B30" s="24" t="s">
        <v>453</v>
      </c>
      <c r="C30" s="24" t="s">
        <v>440</v>
      </c>
      <c r="D30" s="24">
        <f>"0,6008"</f>
        <v>0</v>
      </c>
      <c r="E30" s="24" t="s">
        <v>223</v>
      </c>
      <c r="F30" s="24" t="s">
        <v>337</v>
      </c>
      <c r="G30" s="25" t="s">
        <v>282</v>
      </c>
      <c r="H30" s="25" t="s">
        <v>282</v>
      </c>
      <c r="I30" s="25"/>
      <c r="J30" s="26" t="s">
        <v>454</v>
      </c>
      <c r="K30" s="24" t="s">
        <v>455</v>
      </c>
      <c r="L30" s="24"/>
    </row>
    <row r="31" spans="1:12" ht="14.25">
      <c r="A31" s="20" t="s">
        <v>325</v>
      </c>
      <c r="B31" s="20" t="s">
        <v>326</v>
      </c>
      <c r="C31" s="20" t="s">
        <v>302</v>
      </c>
      <c r="D31" s="20">
        <f>"1,0579"</f>
        <v>0</v>
      </c>
      <c r="E31" s="20" t="s">
        <v>327</v>
      </c>
      <c r="F31" s="20" t="s">
        <v>328</v>
      </c>
      <c r="G31" s="21"/>
      <c r="H31" s="21"/>
      <c r="I31" s="21"/>
      <c r="J31" s="22" t="s">
        <v>456</v>
      </c>
      <c r="K31" s="20" t="s">
        <v>457</v>
      </c>
      <c r="L31" s="20"/>
    </row>
    <row r="33" spans="1:11" ht="16.5">
      <c r="A33" s="23" t="s">
        <v>127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2" ht="14.25">
      <c r="A34" s="16" t="s">
        <v>346</v>
      </c>
      <c r="B34" s="16" t="s">
        <v>458</v>
      </c>
      <c r="C34" s="16" t="s">
        <v>348</v>
      </c>
      <c r="D34" s="16">
        <f>"0,5566"</f>
        <v>0</v>
      </c>
      <c r="E34" s="16" t="s">
        <v>15</v>
      </c>
      <c r="F34" s="16" t="s">
        <v>353</v>
      </c>
      <c r="G34" s="18"/>
      <c r="H34" s="18"/>
      <c r="I34" s="18"/>
      <c r="J34" s="42">
        <v>300</v>
      </c>
      <c r="K34" s="16">
        <f>"166,9650"</f>
        <v>0</v>
      </c>
      <c r="L34" s="16"/>
    </row>
    <row r="35" spans="1:12" ht="14.25">
      <c r="A35" s="24" t="s">
        <v>459</v>
      </c>
      <c r="B35" s="24" t="s">
        <v>460</v>
      </c>
      <c r="C35" s="24" t="s">
        <v>461</v>
      </c>
      <c r="D35" s="24">
        <f>"0,5494"</f>
        <v>0</v>
      </c>
      <c r="E35" s="24" t="s">
        <v>462</v>
      </c>
      <c r="F35" s="25" t="s">
        <v>463</v>
      </c>
      <c r="G35" s="24" t="s">
        <v>463</v>
      </c>
      <c r="H35" s="25"/>
      <c r="I35" s="25"/>
      <c r="J35" s="43">
        <v>55</v>
      </c>
      <c r="K35" s="24">
        <f>"30,2170"</f>
        <v>0</v>
      </c>
      <c r="L35" s="24"/>
    </row>
    <row r="36" spans="1:12" ht="14.25">
      <c r="A36" s="24" t="s">
        <v>330</v>
      </c>
      <c r="B36" s="24" t="s">
        <v>331</v>
      </c>
      <c r="C36" s="24" t="s">
        <v>332</v>
      </c>
      <c r="D36" s="24">
        <f>"0,5530"</f>
        <v>0</v>
      </c>
      <c r="E36" s="24" t="s">
        <v>232</v>
      </c>
      <c r="F36" s="25" t="s">
        <v>435</v>
      </c>
      <c r="G36" s="25" t="s">
        <v>344</v>
      </c>
      <c r="H36" s="25" t="s">
        <v>464</v>
      </c>
      <c r="I36" s="25"/>
      <c r="J36" s="43">
        <v>0</v>
      </c>
      <c r="K36" s="24">
        <f>"0,0000"</f>
        <v>0</v>
      </c>
      <c r="L36" s="24"/>
    </row>
    <row r="37" spans="1:12" ht="14.25">
      <c r="A37" s="24" t="s">
        <v>346</v>
      </c>
      <c r="B37" s="24" t="s">
        <v>347</v>
      </c>
      <c r="C37" s="24" t="s">
        <v>348</v>
      </c>
      <c r="D37" s="24">
        <f>"0,6022"</f>
        <v>0</v>
      </c>
      <c r="E37" s="24" t="s">
        <v>15</v>
      </c>
      <c r="F37" s="24" t="s">
        <v>353</v>
      </c>
      <c r="G37" s="24" t="s">
        <v>98</v>
      </c>
      <c r="H37" s="24" t="s">
        <v>370</v>
      </c>
      <c r="I37" s="25" t="s">
        <v>465</v>
      </c>
      <c r="J37" s="43">
        <v>320</v>
      </c>
      <c r="K37" s="24">
        <f>"192,6999"</f>
        <v>0</v>
      </c>
      <c r="L37" s="24"/>
    </row>
    <row r="38" spans="1:12" ht="14.25">
      <c r="A38" s="20" t="s">
        <v>466</v>
      </c>
      <c r="B38" s="20" t="s">
        <v>467</v>
      </c>
      <c r="C38" s="20" t="s">
        <v>468</v>
      </c>
      <c r="D38" s="20">
        <f>"0,6169"</f>
        <v>0</v>
      </c>
      <c r="E38" s="20" t="s">
        <v>327</v>
      </c>
      <c r="F38" s="20" t="s">
        <v>35</v>
      </c>
      <c r="G38" s="21" t="s">
        <v>294</v>
      </c>
      <c r="H38" s="21" t="s">
        <v>294</v>
      </c>
      <c r="I38" s="21"/>
      <c r="J38" s="44">
        <v>125</v>
      </c>
      <c r="K38" s="20">
        <f>"77,1084"</f>
        <v>0</v>
      </c>
      <c r="L38" s="20"/>
    </row>
    <row r="40" spans="1:11" ht="16.5">
      <c r="A40" s="23" t="s">
        <v>135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2" ht="14.25">
      <c r="A41" s="16" t="s">
        <v>469</v>
      </c>
      <c r="B41" s="16" t="s">
        <v>470</v>
      </c>
      <c r="C41" s="16" t="s">
        <v>471</v>
      </c>
      <c r="D41" s="16">
        <f>"0,5409"</f>
        <v>0</v>
      </c>
      <c r="E41" s="16" t="s">
        <v>232</v>
      </c>
      <c r="F41" s="16" t="s">
        <v>472</v>
      </c>
      <c r="G41" s="16" t="s">
        <v>473</v>
      </c>
      <c r="H41" s="18" t="s">
        <v>474</v>
      </c>
      <c r="I41" s="18"/>
      <c r="J41" s="42">
        <v>357.5</v>
      </c>
      <c r="K41" s="16">
        <f>"193,3825"</f>
        <v>0</v>
      </c>
      <c r="L41" s="16"/>
    </row>
    <row r="42" spans="1:12" ht="14.25">
      <c r="A42" s="20" t="s">
        <v>475</v>
      </c>
      <c r="B42" s="20" t="s">
        <v>476</v>
      </c>
      <c r="C42" s="20" t="s">
        <v>477</v>
      </c>
      <c r="D42" s="20">
        <f>"0,5446"</f>
        <v>0</v>
      </c>
      <c r="E42" s="20" t="s">
        <v>462</v>
      </c>
      <c r="F42" s="20" t="s">
        <v>88</v>
      </c>
      <c r="G42" s="20" t="s">
        <v>219</v>
      </c>
      <c r="H42" s="21" t="s">
        <v>279</v>
      </c>
      <c r="I42" s="21"/>
      <c r="J42" s="44">
        <v>232.5</v>
      </c>
      <c r="K42" s="20">
        <f>"126,6172"</f>
        <v>0</v>
      </c>
      <c r="L42" s="20"/>
    </row>
    <row r="44" spans="1:11" ht="16.5">
      <c r="A44" s="23" t="s">
        <v>140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2" ht="14.25">
      <c r="A45" s="16" t="s">
        <v>478</v>
      </c>
      <c r="B45" s="16" t="s">
        <v>479</v>
      </c>
      <c r="C45" s="16" t="s">
        <v>480</v>
      </c>
      <c r="D45" s="16">
        <f>"0,5286"</f>
        <v>0</v>
      </c>
      <c r="E45" s="16" t="s">
        <v>462</v>
      </c>
      <c r="F45" s="16" t="s">
        <v>47</v>
      </c>
      <c r="G45" s="18" t="s">
        <v>131</v>
      </c>
      <c r="H45" s="18" t="s">
        <v>87</v>
      </c>
      <c r="I45" s="18"/>
      <c r="J45" s="19" t="s">
        <v>481</v>
      </c>
      <c r="K45" s="16" t="s">
        <v>482</v>
      </c>
      <c r="L45" s="16"/>
    </row>
    <row r="46" spans="1:12" ht="14.25">
      <c r="A46" s="20" t="s">
        <v>483</v>
      </c>
      <c r="B46" s="20" t="s">
        <v>484</v>
      </c>
      <c r="C46" s="20" t="s">
        <v>485</v>
      </c>
      <c r="D46" s="20">
        <f>"0,6860"</f>
        <v>0</v>
      </c>
      <c r="E46" s="20" t="s">
        <v>462</v>
      </c>
      <c r="F46" s="20" t="s">
        <v>486</v>
      </c>
      <c r="G46" s="21"/>
      <c r="H46" s="21"/>
      <c r="I46" s="21"/>
      <c r="J46" s="44">
        <v>160</v>
      </c>
      <c r="K46" s="20">
        <f>"109,7604"</f>
        <v>0</v>
      </c>
      <c r="L46" s="20"/>
    </row>
    <row r="48" ht="16.5">
      <c r="E48" s="30" t="s">
        <v>144</v>
      </c>
    </row>
    <row r="49" ht="16.5">
      <c r="E49" s="30" t="s">
        <v>145</v>
      </c>
    </row>
    <row r="50" ht="16.5">
      <c r="E50" s="30" t="s">
        <v>146</v>
      </c>
    </row>
    <row r="51" ht="14.25">
      <c r="E51" s="1" t="s">
        <v>147</v>
      </c>
    </row>
    <row r="52" ht="14.25">
      <c r="E52" s="1" t="s">
        <v>148</v>
      </c>
    </row>
    <row r="53" ht="14.25">
      <c r="E53" s="1" t="s">
        <v>149</v>
      </c>
    </row>
    <row r="57" spans="1:2" ht="18.75">
      <c r="A57" s="31" t="s">
        <v>150</v>
      </c>
      <c r="B57" s="31"/>
    </row>
    <row r="58" spans="1:2" ht="16.5">
      <c r="A58" s="32" t="s">
        <v>164</v>
      </c>
      <c r="B58" s="32"/>
    </row>
    <row r="59" spans="1:2" ht="15.75">
      <c r="A59" s="33" t="s">
        <v>152</v>
      </c>
      <c r="B59" s="34"/>
    </row>
    <row r="60" spans="1:5" ht="15.75">
      <c r="A60" s="35" t="s">
        <v>1</v>
      </c>
      <c r="B60" s="35" t="s">
        <v>153</v>
      </c>
      <c r="C60" s="35" t="s">
        <v>154</v>
      </c>
      <c r="D60" s="35" t="s">
        <v>7</v>
      </c>
      <c r="E60" s="35" t="s">
        <v>155</v>
      </c>
    </row>
    <row r="61" spans="1:5" ht="14.25">
      <c r="A61" s="36" t="s">
        <v>469</v>
      </c>
      <c r="B61" s="1" t="s">
        <v>152</v>
      </c>
      <c r="C61" s="1" t="s">
        <v>175</v>
      </c>
      <c r="D61" s="1" t="s">
        <v>473</v>
      </c>
      <c r="E61" s="37" t="s">
        <v>487</v>
      </c>
    </row>
    <row r="62" spans="1:5" ht="14.25">
      <c r="A62" s="55" t="s">
        <v>488</v>
      </c>
      <c r="B62" s="1" t="s">
        <v>152</v>
      </c>
      <c r="C62" s="1" t="s">
        <v>173</v>
      </c>
      <c r="D62" s="55" t="s">
        <v>436</v>
      </c>
      <c r="E62" s="39" t="s">
        <v>437</v>
      </c>
    </row>
    <row r="63" spans="1:5" ht="14.25">
      <c r="A63" s="36" t="s">
        <v>413</v>
      </c>
      <c r="B63" s="1" t="s">
        <v>152</v>
      </c>
      <c r="C63" s="1" t="s">
        <v>171</v>
      </c>
      <c r="D63" s="1" t="s">
        <v>416</v>
      </c>
      <c r="E63" s="37" t="s">
        <v>489</v>
      </c>
    </row>
    <row r="64" spans="1:5" ht="14.25">
      <c r="A64" s="36" t="s">
        <v>438</v>
      </c>
      <c r="B64" s="1" t="s">
        <v>152</v>
      </c>
      <c r="C64" s="1" t="s">
        <v>173</v>
      </c>
      <c r="D64" s="1" t="s">
        <v>105</v>
      </c>
      <c r="E64" s="37" t="s">
        <v>490</v>
      </c>
    </row>
    <row r="65" spans="1:5" ht="14.25">
      <c r="A65" s="36" t="s">
        <v>346</v>
      </c>
      <c r="B65" s="1" t="s">
        <v>152</v>
      </c>
      <c r="C65" s="1" t="s">
        <v>169</v>
      </c>
      <c r="D65" s="1" t="s">
        <v>353</v>
      </c>
      <c r="E65" s="37" t="s">
        <v>491</v>
      </c>
    </row>
    <row r="66" spans="1:5" ht="14.25">
      <c r="A66" s="36" t="s">
        <v>107</v>
      </c>
      <c r="B66" s="1" t="s">
        <v>152</v>
      </c>
      <c r="C66" s="1" t="s">
        <v>173</v>
      </c>
      <c r="D66" s="1" t="s">
        <v>104</v>
      </c>
      <c r="E66" s="37" t="s">
        <v>492</v>
      </c>
    </row>
    <row r="67" spans="1:5" ht="14.25">
      <c r="A67" s="36" t="s">
        <v>420</v>
      </c>
      <c r="B67" s="1" t="s">
        <v>152</v>
      </c>
      <c r="C67" s="1" t="s">
        <v>181</v>
      </c>
      <c r="D67" s="1" t="s">
        <v>68</v>
      </c>
      <c r="E67" s="37" t="s">
        <v>493</v>
      </c>
    </row>
    <row r="68" spans="1:5" ht="14.25">
      <c r="A68" s="36" t="s">
        <v>430</v>
      </c>
      <c r="B68" s="1" t="s">
        <v>152</v>
      </c>
      <c r="C68" s="1" t="s">
        <v>167</v>
      </c>
      <c r="D68" s="1" t="s">
        <v>68</v>
      </c>
      <c r="E68" s="37" t="s">
        <v>494</v>
      </c>
    </row>
    <row r="69" spans="1:5" ht="14.25">
      <c r="A69" s="36" t="s">
        <v>442</v>
      </c>
      <c r="B69" s="1" t="s">
        <v>152</v>
      </c>
      <c r="C69" s="1" t="s">
        <v>173</v>
      </c>
      <c r="D69" s="1" t="s">
        <v>42</v>
      </c>
      <c r="E69" s="37" t="s">
        <v>495</v>
      </c>
    </row>
    <row r="70" spans="1:5" ht="14.25">
      <c r="A70" s="36" t="s">
        <v>417</v>
      </c>
      <c r="B70" s="1" t="s">
        <v>152</v>
      </c>
      <c r="C70" s="1" t="s">
        <v>171</v>
      </c>
      <c r="D70" s="1" t="s">
        <v>87</v>
      </c>
      <c r="E70" s="37" t="s">
        <v>496</v>
      </c>
    </row>
    <row r="71" spans="1:5" ht="14.25">
      <c r="A71" s="36" t="s">
        <v>475</v>
      </c>
      <c r="B71" s="1" t="s">
        <v>152</v>
      </c>
      <c r="C71" s="1" t="s">
        <v>175</v>
      </c>
      <c r="D71" s="1" t="s">
        <v>219</v>
      </c>
      <c r="E71" s="37" t="s">
        <v>497</v>
      </c>
    </row>
    <row r="72" spans="1:5" ht="14.25">
      <c r="A72" s="36" t="s">
        <v>459</v>
      </c>
      <c r="B72" s="1" t="s">
        <v>152</v>
      </c>
      <c r="C72" s="1" t="s">
        <v>169</v>
      </c>
      <c r="D72" s="1" t="s">
        <v>463</v>
      </c>
      <c r="E72" s="37" t="s">
        <v>498</v>
      </c>
    </row>
    <row r="74" spans="1:2" ht="15.75">
      <c r="A74" s="33" t="s">
        <v>160</v>
      </c>
      <c r="B74" s="34"/>
    </row>
    <row r="75" spans="1:5" ht="15.75">
      <c r="A75" s="35" t="s">
        <v>1</v>
      </c>
      <c r="B75" s="35" t="s">
        <v>153</v>
      </c>
      <c r="C75" s="35" t="s">
        <v>154</v>
      </c>
      <c r="D75" s="35" t="s">
        <v>7</v>
      </c>
      <c r="E75" s="35" t="s">
        <v>155</v>
      </c>
    </row>
    <row r="76" spans="1:5" ht="14.25">
      <c r="A76" s="36" t="s">
        <v>346</v>
      </c>
      <c r="B76" s="1" t="s">
        <v>188</v>
      </c>
      <c r="C76" s="1" t="s">
        <v>169</v>
      </c>
      <c r="D76" s="1" t="s">
        <v>370</v>
      </c>
      <c r="E76" s="37" t="s">
        <v>499</v>
      </c>
    </row>
    <row r="77" spans="1:5" ht="14.25">
      <c r="A77" s="36" t="s">
        <v>426</v>
      </c>
      <c r="B77" s="1" t="s">
        <v>190</v>
      </c>
      <c r="C77" s="1" t="s">
        <v>181</v>
      </c>
      <c r="D77" s="1" t="s">
        <v>429</v>
      </c>
      <c r="E77" s="37" t="s">
        <v>500</v>
      </c>
    </row>
    <row r="78" spans="1:5" ht="14.25">
      <c r="A78" s="36" t="s">
        <v>417</v>
      </c>
      <c r="B78" s="1" t="s">
        <v>190</v>
      </c>
      <c r="C78" s="1" t="s">
        <v>171</v>
      </c>
      <c r="D78" s="1" t="s">
        <v>87</v>
      </c>
      <c r="E78" s="37" t="s">
        <v>501</v>
      </c>
    </row>
    <row r="79" spans="1:5" ht="14.25">
      <c r="A79" s="36" t="s">
        <v>448</v>
      </c>
      <c r="B79" s="1" t="s">
        <v>188</v>
      </c>
      <c r="C79" s="1" t="s">
        <v>173</v>
      </c>
      <c r="D79" s="1" t="s">
        <v>78</v>
      </c>
      <c r="E79" s="37" t="s">
        <v>502</v>
      </c>
    </row>
    <row r="80" spans="1:5" ht="14.25">
      <c r="A80" s="36" t="s">
        <v>483</v>
      </c>
      <c r="B80" s="1" t="s">
        <v>190</v>
      </c>
      <c r="C80" s="1" t="s">
        <v>194</v>
      </c>
      <c r="D80" s="1" t="s">
        <v>486</v>
      </c>
      <c r="E80" s="37" t="s">
        <v>503</v>
      </c>
    </row>
    <row r="81" spans="1:5" ht="14.25">
      <c r="A81" s="36" t="s">
        <v>466</v>
      </c>
      <c r="B81" s="1" t="s">
        <v>161</v>
      </c>
      <c r="C81" s="1" t="s">
        <v>169</v>
      </c>
      <c r="D81" s="1" t="s">
        <v>35</v>
      </c>
      <c r="E81" s="37" t="s">
        <v>504</v>
      </c>
    </row>
  </sheetData>
  <sheetProtection selectLockedCells="1" selectUnlockedCells="1"/>
  <mergeCells count="18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8:K8"/>
    <mergeCell ref="A14:K14"/>
    <mergeCell ref="A19:K19"/>
    <mergeCell ref="A22:K22"/>
    <mergeCell ref="A33:K33"/>
    <mergeCell ref="A40:K40"/>
    <mergeCell ref="A44:K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7"/>
  <sheetViews>
    <sheetView workbookViewId="0" topLeftCell="A4">
      <selection activeCell="J1" sqref="J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9" width="5.50390625" style="1" customWidth="1"/>
    <col min="10" max="10" width="6.375" style="2" customWidth="1"/>
    <col min="11" max="11" width="8.50390625" style="1" customWidth="1"/>
    <col min="12" max="12" width="15.75390625" style="1" customWidth="1"/>
  </cols>
  <sheetData>
    <row r="1" spans="1:12" s="4" customFormat="1" ht="15" customHeight="1">
      <c r="A1" s="3" t="s">
        <v>505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4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8"/>
      <c r="H3" s="8"/>
      <c r="I3" s="8"/>
      <c r="J3" s="9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9"/>
      <c r="K4" s="7"/>
      <c r="L4" s="10"/>
    </row>
    <row r="5" spans="1:11" ht="16.5">
      <c r="A5" s="15" t="s">
        <v>213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27" t="s">
        <v>506</v>
      </c>
      <c r="B6" s="27" t="s">
        <v>507</v>
      </c>
      <c r="C6" s="27" t="s">
        <v>508</v>
      </c>
      <c r="D6" s="27">
        <f>"1,1195"</f>
        <v>0</v>
      </c>
      <c r="E6" s="27" t="s">
        <v>509</v>
      </c>
      <c r="F6" s="27" t="s">
        <v>510</v>
      </c>
      <c r="G6" s="27" t="s">
        <v>511</v>
      </c>
      <c r="H6" s="28" t="s">
        <v>512</v>
      </c>
      <c r="I6" s="28"/>
      <c r="J6" s="29">
        <v>77.5</v>
      </c>
      <c r="K6" s="27">
        <f>"86,7613"</f>
        <v>0</v>
      </c>
      <c r="L6" s="27"/>
    </row>
    <row r="8" spans="1:11" ht="16.5">
      <c r="A8" s="23" t="s">
        <v>202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14.25">
      <c r="A9" s="16" t="s">
        <v>513</v>
      </c>
      <c r="B9" s="16" t="s">
        <v>514</v>
      </c>
      <c r="C9" s="16" t="s">
        <v>515</v>
      </c>
      <c r="D9" s="16">
        <f>"1,0010"</f>
        <v>0</v>
      </c>
      <c r="E9" s="16" t="s">
        <v>232</v>
      </c>
      <c r="F9" s="16" t="s">
        <v>23</v>
      </c>
      <c r="G9" s="16" t="s">
        <v>16</v>
      </c>
      <c r="H9" s="18" t="s">
        <v>516</v>
      </c>
      <c r="I9" s="18"/>
      <c r="J9" s="19">
        <v>100</v>
      </c>
      <c r="K9" s="16">
        <f>"100,1000"</f>
        <v>0</v>
      </c>
      <c r="L9" s="16"/>
    </row>
    <row r="10" spans="1:12" ht="14.25">
      <c r="A10" s="24" t="s">
        <v>517</v>
      </c>
      <c r="B10" s="24" t="s">
        <v>518</v>
      </c>
      <c r="C10" s="24" t="s">
        <v>519</v>
      </c>
      <c r="D10" s="24">
        <f>"1,0922"</f>
        <v>0</v>
      </c>
      <c r="E10" s="24" t="s">
        <v>15</v>
      </c>
      <c r="F10" s="24" t="s">
        <v>22</v>
      </c>
      <c r="G10" s="24" t="s">
        <v>23</v>
      </c>
      <c r="H10" s="24" t="s">
        <v>24</v>
      </c>
      <c r="I10" s="25"/>
      <c r="J10" s="26">
        <v>97.5</v>
      </c>
      <c r="K10" s="24">
        <f>"106,4869"</f>
        <v>0</v>
      </c>
      <c r="L10" s="24"/>
    </row>
    <row r="11" spans="1:12" ht="14.25">
      <c r="A11" s="20" t="s">
        <v>520</v>
      </c>
      <c r="B11" s="20" t="s">
        <v>521</v>
      </c>
      <c r="C11" s="20" t="s">
        <v>522</v>
      </c>
      <c r="D11" s="20">
        <f>"1,1506"</f>
        <v>0</v>
      </c>
      <c r="E11" s="20" t="s">
        <v>15</v>
      </c>
      <c r="F11" s="20" t="s">
        <v>463</v>
      </c>
      <c r="G11" s="20" t="s">
        <v>523</v>
      </c>
      <c r="H11" s="21" t="s">
        <v>524</v>
      </c>
      <c r="I11" s="21"/>
      <c r="J11" s="22">
        <v>57.5</v>
      </c>
      <c r="K11" s="20">
        <f>"66,1569"</f>
        <v>0</v>
      </c>
      <c r="L11" s="20"/>
    </row>
    <row r="13" spans="1:11" ht="16.5">
      <c r="A13" s="23" t="s">
        <v>11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2" ht="14.25">
      <c r="A14" s="16" t="s">
        <v>12</v>
      </c>
      <c r="B14" s="16" t="s">
        <v>525</v>
      </c>
      <c r="C14" s="16" t="s">
        <v>14</v>
      </c>
      <c r="D14" s="16">
        <f>"0,9233"</f>
        <v>0</v>
      </c>
      <c r="E14" s="16" t="s">
        <v>15</v>
      </c>
      <c r="F14" s="16" t="s">
        <v>526</v>
      </c>
      <c r="G14" s="16" t="s">
        <v>527</v>
      </c>
      <c r="H14" s="18" t="s">
        <v>528</v>
      </c>
      <c r="I14" s="18"/>
      <c r="J14" s="19">
        <v>80</v>
      </c>
      <c r="K14" s="16">
        <f>"73,8600"</f>
        <v>0</v>
      </c>
      <c r="L14" s="16"/>
    </row>
    <row r="15" spans="1:12" ht="14.25">
      <c r="A15" s="24" t="s">
        <v>529</v>
      </c>
      <c r="B15" s="24" t="s">
        <v>530</v>
      </c>
      <c r="C15" s="24" t="s">
        <v>531</v>
      </c>
      <c r="D15" s="24">
        <f>"0,9632"</f>
        <v>0</v>
      </c>
      <c r="E15" s="24" t="s">
        <v>232</v>
      </c>
      <c r="F15" s="24" t="s">
        <v>217</v>
      </c>
      <c r="G15" s="25" t="s">
        <v>17</v>
      </c>
      <c r="H15" s="25" t="s">
        <v>17</v>
      </c>
      <c r="I15" s="25"/>
      <c r="J15" s="26" t="s">
        <v>217</v>
      </c>
      <c r="K15" s="24" t="s">
        <v>532</v>
      </c>
      <c r="L15" s="24"/>
    </row>
    <row r="16" spans="1:12" ht="14.25">
      <c r="A16" s="24" t="s">
        <v>533</v>
      </c>
      <c r="B16" s="24" t="s">
        <v>534</v>
      </c>
      <c r="C16" s="24" t="s">
        <v>535</v>
      </c>
      <c r="D16" s="24">
        <f>"0,9102"</f>
        <v>0</v>
      </c>
      <c r="E16" s="24" t="s">
        <v>536</v>
      </c>
      <c r="F16" s="24" t="s">
        <v>23</v>
      </c>
      <c r="G16" s="25" t="s">
        <v>16</v>
      </c>
      <c r="H16" s="24" t="s">
        <v>516</v>
      </c>
      <c r="I16" s="25"/>
      <c r="J16" s="26">
        <v>102.5</v>
      </c>
      <c r="K16" s="24">
        <f>"93,2955"</f>
        <v>0</v>
      </c>
      <c r="L16" s="24"/>
    </row>
    <row r="17" spans="1:12" ht="14.25">
      <c r="A17" s="24" t="s">
        <v>537</v>
      </c>
      <c r="B17" s="24" t="s">
        <v>538</v>
      </c>
      <c r="C17" s="24" t="s">
        <v>539</v>
      </c>
      <c r="D17" s="24">
        <f>"0,9018"</f>
        <v>0</v>
      </c>
      <c r="E17" s="24" t="s">
        <v>15</v>
      </c>
      <c r="F17" s="24" t="s">
        <v>527</v>
      </c>
      <c r="G17" s="24" t="s">
        <v>328</v>
      </c>
      <c r="H17" s="24" t="s">
        <v>528</v>
      </c>
      <c r="I17" s="25"/>
      <c r="J17" s="26">
        <v>87.5</v>
      </c>
      <c r="K17" s="24">
        <f>"78,9031"</f>
        <v>0</v>
      </c>
      <c r="L17" s="24"/>
    </row>
    <row r="18" spans="1:12" ht="14.25">
      <c r="A18" s="24" t="s">
        <v>12</v>
      </c>
      <c r="B18" s="24" t="s">
        <v>13</v>
      </c>
      <c r="C18" s="24" t="s">
        <v>14</v>
      </c>
      <c r="D18" s="24">
        <f>"0,9233"</f>
        <v>0</v>
      </c>
      <c r="E18" s="24" t="s">
        <v>15</v>
      </c>
      <c r="F18" s="24" t="s">
        <v>540</v>
      </c>
      <c r="G18" s="24" t="s">
        <v>527</v>
      </c>
      <c r="H18" s="25" t="s">
        <v>528</v>
      </c>
      <c r="I18" s="25"/>
      <c r="J18" s="26">
        <v>80</v>
      </c>
      <c r="K18" s="24">
        <f>"73,8600"</f>
        <v>0</v>
      </c>
      <c r="L18" s="24"/>
    </row>
    <row r="19" spans="1:12" ht="14.25">
      <c r="A19" s="24" t="s">
        <v>533</v>
      </c>
      <c r="B19" s="24" t="s">
        <v>541</v>
      </c>
      <c r="C19" s="24" t="s">
        <v>535</v>
      </c>
      <c r="D19" s="24">
        <f>"0,9102"</f>
        <v>0</v>
      </c>
      <c r="E19" s="24" t="s">
        <v>536</v>
      </c>
      <c r="F19" s="24" t="s">
        <v>23</v>
      </c>
      <c r="G19" s="25" t="s">
        <v>16</v>
      </c>
      <c r="H19" s="24" t="s">
        <v>516</v>
      </c>
      <c r="I19" s="25"/>
      <c r="J19" s="26">
        <v>102.5</v>
      </c>
      <c r="K19" s="24">
        <f>"93,2955"</f>
        <v>0</v>
      </c>
      <c r="L19" s="24"/>
    </row>
    <row r="20" spans="1:12" ht="14.25">
      <c r="A20" s="24" t="s">
        <v>529</v>
      </c>
      <c r="B20" s="24" t="s">
        <v>542</v>
      </c>
      <c r="C20" s="24" t="s">
        <v>531</v>
      </c>
      <c r="D20" s="24">
        <f>"1,0162"</f>
        <v>0</v>
      </c>
      <c r="E20" s="24" t="s">
        <v>232</v>
      </c>
      <c r="F20" s="24" t="s">
        <v>217</v>
      </c>
      <c r="G20" s="25" t="s">
        <v>17</v>
      </c>
      <c r="H20" s="25" t="s">
        <v>17</v>
      </c>
      <c r="I20" s="25"/>
      <c r="J20" s="26" t="s">
        <v>217</v>
      </c>
      <c r="K20" s="24" t="s">
        <v>543</v>
      </c>
      <c r="L20" s="24"/>
    </row>
    <row r="21" spans="1:12" ht="14.25">
      <c r="A21" s="20" t="s">
        <v>544</v>
      </c>
      <c r="B21" s="20" t="s">
        <v>545</v>
      </c>
      <c r="C21" s="20" t="s">
        <v>546</v>
      </c>
      <c r="D21" s="20">
        <f>"1,5920"</f>
        <v>0</v>
      </c>
      <c r="E21" s="20" t="s">
        <v>259</v>
      </c>
      <c r="F21" s="20" t="s">
        <v>547</v>
      </c>
      <c r="G21" s="20" t="s">
        <v>548</v>
      </c>
      <c r="H21" s="21" t="s">
        <v>524</v>
      </c>
      <c r="I21" s="21"/>
      <c r="J21" s="22">
        <v>55</v>
      </c>
      <c r="K21" s="20">
        <f>"87,5592"</f>
        <v>0</v>
      </c>
      <c r="L21" s="20"/>
    </row>
    <row r="23" spans="1:11" ht="16.5">
      <c r="A23" s="23" t="s">
        <v>25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2" ht="14.25">
      <c r="A24" s="16" t="s">
        <v>549</v>
      </c>
      <c r="B24" s="16" t="s">
        <v>550</v>
      </c>
      <c r="C24" s="16" t="s">
        <v>551</v>
      </c>
      <c r="D24" s="16">
        <f>"0,8483"</f>
        <v>0</v>
      </c>
      <c r="E24" s="16" t="s">
        <v>15</v>
      </c>
      <c r="F24" s="16" t="s">
        <v>35</v>
      </c>
      <c r="G24" s="16" t="s">
        <v>62</v>
      </c>
      <c r="H24" s="18" t="s">
        <v>120</v>
      </c>
      <c r="I24" s="18"/>
      <c r="J24" s="19">
        <v>135</v>
      </c>
      <c r="K24" s="16">
        <f>"114,5272"</f>
        <v>0</v>
      </c>
      <c r="L24" s="16"/>
    </row>
    <row r="25" spans="1:12" ht="14.25">
      <c r="A25" s="24" t="s">
        <v>552</v>
      </c>
      <c r="B25" s="24" t="s">
        <v>553</v>
      </c>
      <c r="C25" s="24" t="s">
        <v>554</v>
      </c>
      <c r="D25" s="24">
        <f>"0,8475"</f>
        <v>0</v>
      </c>
      <c r="E25" s="24" t="s">
        <v>15</v>
      </c>
      <c r="F25" s="24" t="s">
        <v>218</v>
      </c>
      <c r="G25" s="24" t="s">
        <v>555</v>
      </c>
      <c r="H25" s="25" t="s">
        <v>35</v>
      </c>
      <c r="I25" s="25"/>
      <c r="J25" s="26">
        <v>117.5</v>
      </c>
      <c r="K25" s="24">
        <f>"99,5871"</f>
        <v>0</v>
      </c>
      <c r="L25" s="24"/>
    </row>
    <row r="26" spans="1:12" ht="14.25">
      <c r="A26" s="24" t="s">
        <v>556</v>
      </c>
      <c r="B26" s="24" t="s">
        <v>557</v>
      </c>
      <c r="C26" s="24" t="s">
        <v>558</v>
      </c>
      <c r="D26" s="24">
        <f>"0,8399"</f>
        <v>0</v>
      </c>
      <c r="E26" s="24" t="s">
        <v>232</v>
      </c>
      <c r="F26" s="24" t="s">
        <v>16</v>
      </c>
      <c r="G26" s="24" t="s">
        <v>17</v>
      </c>
      <c r="H26" s="25" t="s">
        <v>218</v>
      </c>
      <c r="I26" s="25"/>
      <c r="J26" s="26">
        <v>110</v>
      </c>
      <c r="K26" s="24">
        <f>"92,3890"</f>
        <v>0</v>
      </c>
      <c r="L26" s="24"/>
    </row>
    <row r="27" spans="1:12" ht="14.25">
      <c r="A27" s="24" t="s">
        <v>559</v>
      </c>
      <c r="B27" s="24" t="s">
        <v>560</v>
      </c>
      <c r="C27" s="24" t="s">
        <v>561</v>
      </c>
      <c r="D27" s="24">
        <f>"0,8368"</f>
        <v>0</v>
      </c>
      <c r="E27" s="24" t="s">
        <v>562</v>
      </c>
      <c r="F27" s="24" t="s">
        <v>516</v>
      </c>
      <c r="G27" s="25" t="s">
        <v>17</v>
      </c>
      <c r="H27" s="25" t="s">
        <v>17</v>
      </c>
      <c r="I27" s="25"/>
      <c r="J27" s="26">
        <v>102.5</v>
      </c>
      <c r="K27" s="24">
        <f>"85,7771"</f>
        <v>0</v>
      </c>
      <c r="L27" s="24"/>
    </row>
    <row r="28" spans="1:12" ht="14.25">
      <c r="A28" s="24" t="s">
        <v>563</v>
      </c>
      <c r="B28" s="24" t="s">
        <v>564</v>
      </c>
      <c r="C28" s="24" t="s">
        <v>561</v>
      </c>
      <c r="D28" s="24">
        <f>"0,8628"</f>
        <v>0</v>
      </c>
      <c r="E28" s="24" t="s">
        <v>223</v>
      </c>
      <c r="F28" s="24" t="s">
        <v>527</v>
      </c>
      <c r="G28" s="24" t="s">
        <v>22</v>
      </c>
      <c r="H28" s="25" t="s">
        <v>23</v>
      </c>
      <c r="I28" s="25"/>
      <c r="J28" s="26">
        <v>90</v>
      </c>
      <c r="K28" s="24">
        <f>"77,6513"</f>
        <v>0</v>
      </c>
      <c r="L28" s="24"/>
    </row>
    <row r="29" spans="1:12" ht="14.25">
      <c r="A29" s="24" t="s">
        <v>32</v>
      </c>
      <c r="B29" s="24" t="s">
        <v>33</v>
      </c>
      <c r="C29" s="24" t="s">
        <v>34</v>
      </c>
      <c r="D29" s="24">
        <f>"0,9998"</f>
        <v>0</v>
      </c>
      <c r="E29" s="24" t="s">
        <v>15</v>
      </c>
      <c r="F29" s="24" t="s">
        <v>217</v>
      </c>
      <c r="G29" s="24" t="s">
        <v>17</v>
      </c>
      <c r="H29" s="25" t="s">
        <v>18</v>
      </c>
      <c r="I29" s="25"/>
      <c r="J29" s="26">
        <v>110</v>
      </c>
      <c r="K29" s="24">
        <f>"109,9812"</f>
        <v>0</v>
      </c>
      <c r="L29" s="24"/>
    </row>
    <row r="30" spans="1:12" ht="14.25">
      <c r="A30" s="20" t="s">
        <v>565</v>
      </c>
      <c r="B30" s="20" t="s">
        <v>566</v>
      </c>
      <c r="C30" s="20" t="s">
        <v>567</v>
      </c>
      <c r="D30" s="20">
        <f>"1,1529"</f>
        <v>0</v>
      </c>
      <c r="E30" s="20" t="s">
        <v>232</v>
      </c>
      <c r="F30" s="20" t="s">
        <v>524</v>
      </c>
      <c r="G30" s="20" t="s">
        <v>547</v>
      </c>
      <c r="H30" s="20" t="s">
        <v>568</v>
      </c>
      <c r="I30" s="21" t="s">
        <v>526</v>
      </c>
      <c r="J30" s="22">
        <v>72.5</v>
      </c>
      <c r="K30" s="20">
        <f>"83,5830"</f>
        <v>0</v>
      </c>
      <c r="L30" s="20"/>
    </row>
    <row r="32" spans="1:11" ht="16.5">
      <c r="A32" s="23" t="s">
        <v>49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2" ht="14.25">
      <c r="A33" s="16" t="s">
        <v>569</v>
      </c>
      <c r="B33" s="16" t="s">
        <v>570</v>
      </c>
      <c r="C33" s="16" t="s">
        <v>571</v>
      </c>
      <c r="D33" s="16">
        <f>"0,8062"</f>
        <v>0</v>
      </c>
      <c r="E33" s="16" t="s">
        <v>15</v>
      </c>
      <c r="F33" s="16" t="s">
        <v>16</v>
      </c>
      <c r="G33" s="16" t="s">
        <v>217</v>
      </c>
      <c r="H33" s="18" t="s">
        <v>17</v>
      </c>
      <c r="I33" s="18"/>
      <c r="J33" s="19">
        <v>105</v>
      </c>
      <c r="K33" s="16">
        <f>"84,6562"</f>
        <v>0</v>
      </c>
      <c r="L33" s="16"/>
    </row>
    <row r="34" spans="1:12" ht="14.25">
      <c r="A34" s="20" t="s">
        <v>572</v>
      </c>
      <c r="B34" s="20" t="s">
        <v>573</v>
      </c>
      <c r="C34" s="20" t="s">
        <v>574</v>
      </c>
      <c r="D34" s="20">
        <f>"0,8962"</f>
        <v>0</v>
      </c>
      <c r="E34" s="20" t="s">
        <v>232</v>
      </c>
      <c r="F34" s="20" t="s">
        <v>29</v>
      </c>
      <c r="G34" s="21" t="s">
        <v>30</v>
      </c>
      <c r="H34" s="21" t="s">
        <v>30</v>
      </c>
      <c r="I34" s="21"/>
      <c r="J34" s="22" t="s">
        <v>575</v>
      </c>
      <c r="K34" s="20" t="s">
        <v>576</v>
      </c>
      <c r="L34" s="20"/>
    </row>
    <row r="36" spans="1:11" ht="16.5">
      <c r="A36" s="23" t="s">
        <v>213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2" ht="14.25">
      <c r="A37" s="27" t="s">
        <v>577</v>
      </c>
      <c r="B37" s="27" t="s">
        <v>578</v>
      </c>
      <c r="C37" s="27" t="s">
        <v>579</v>
      </c>
      <c r="D37" s="27">
        <f>"1,0192"</f>
        <v>0</v>
      </c>
      <c r="E37" s="27" t="s">
        <v>15</v>
      </c>
      <c r="F37" s="27" t="s">
        <v>580</v>
      </c>
      <c r="G37" s="27" t="s">
        <v>581</v>
      </c>
      <c r="H37" s="28" t="s">
        <v>582</v>
      </c>
      <c r="I37" s="28"/>
      <c r="J37" s="29">
        <v>40</v>
      </c>
      <c r="K37" s="27">
        <f>"40,7660"</f>
        <v>0</v>
      </c>
      <c r="L37" s="27"/>
    </row>
    <row r="39" spans="1:11" ht="16.5">
      <c r="A39" s="23" t="s">
        <v>583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2" ht="14.25">
      <c r="A40" s="16" t="s">
        <v>584</v>
      </c>
      <c r="B40" s="16" t="s">
        <v>585</v>
      </c>
      <c r="C40" s="16" t="s">
        <v>586</v>
      </c>
      <c r="D40" s="16">
        <f>"0,9061"</f>
        <v>0</v>
      </c>
      <c r="E40" s="16" t="s">
        <v>223</v>
      </c>
      <c r="F40" s="16" t="s">
        <v>29</v>
      </c>
      <c r="G40" s="16" t="s">
        <v>30</v>
      </c>
      <c r="H40" s="18" t="s">
        <v>587</v>
      </c>
      <c r="I40" s="18"/>
      <c r="J40" s="19">
        <v>130</v>
      </c>
      <c r="K40" s="16">
        <f>"117,7865"</f>
        <v>0</v>
      </c>
      <c r="L40" s="16"/>
    </row>
    <row r="41" spans="1:12" ht="14.25">
      <c r="A41" s="20" t="s">
        <v>588</v>
      </c>
      <c r="B41" s="20" t="s">
        <v>589</v>
      </c>
      <c r="C41" s="20" t="s">
        <v>590</v>
      </c>
      <c r="D41" s="20">
        <f>"1,6295"</f>
        <v>0</v>
      </c>
      <c r="E41" s="20" t="s">
        <v>223</v>
      </c>
      <c r="F41" s="20" t="s">
        <v>510</v>
      </c>
      <c r="G41" s="20" t="s">
        <v>526</v>
      </c>
      <c r="H41" s="21" t="s">
        <v>511</v>
      </c>
      <c r="I41" s="21"/>
      <c r="J41" s="22">
        <v>75</v>
      </c>
      <c r="K41" s="20">
        <f>"122,2126"</f>
        <v>0</v>
      </c>
      <c r="L41" s="20"/>
    </row>
    <row r="43" spans="1:11" ht="16.5">
      <c r="A43" s="23" t="s">
        <v>11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2" ht="14.25">
      <c r="A44" s="16" t="s">
        <v>591</v>
      </c>
      <c r="B44" s="16" t="s">
        <v>592</v>
      </c>
      <c r="C44" s="16" t="s">
        <v>593</v>
      </c>
      <c r="D44" s="16">
        <f>"0,7965"</f>
        <v>0</v>
      </c>
      <c r="E44" s="16" t="s">
        <v>15</v>
      </c>
      <c r="F44" s="16" t="s">
        <v>594</v>
      </c>
      <c r="G44" s="16" t="s">
        <v>463</v>
      </c>
      <c r="H44" s="18" t="s">
        <v>524</v>
      </c>
      <c r="I44" s="18"/>
      <c r="J44" s="19">
        <v>55</v>
      </c>
      <c r="K44" s="16">
        <f>"43,8102"</f>
        <v>0</v>
      </c>
      <c r="L44" s="16"/>
    </row>
    <row r="45" spans="1:12" ht="14.25">
      <c r="A45" s="24" t="s">
        <v>595</v>
      </c>
      <c r="B45" s="24" t="s">
        <v>596</v>
      </c>
      <c r="C45" s="24" t="s">
        <v>597</v>
      </c>
      <c r="D45" s="24">
        <f>"0,8073"</f>
        <v>0</v>
      </c>
      <c r="E45" s="24" t="s">
        <v>15</v>
      </c>
      <c r="F45" s="24" t="s">
        <v>22</v>
      </c>
      <c r="G45" s="24" t="s">
        <v>23</v>
      </c>
      <c r="H45" s="25" t="s">
        <v>24</v>
      </c>
      <c r="I45" s="25"/>
      <c r="J45" s="26">
        <v>95</v>
      </c>
      <c r="K45" s="24">
        <f>"76,6888"</f>
        <v>0</v>
      </c>
      <c r="L45" s="24"/>
    </row>
    <row r="46" spans="1:12" ht="14.25">
      <c r="A46" s="24" t="s">
        <v>598</v>
      </c>
      <c r="B46" s="24" t="s">
        <v>599</v>
      </c>
      <c r="C46" s="24" t="s">
        <v>600</v>
      </c>
      <c r="D46" s="24">
        <f>"0,7522"</f>
        <v>0</v>
      </c>
      <c r="E46" s="24" t="s">
        <v>223</v>
      </c>
      <c r="F46" s="24" t="s">
        <v>527</v>
      </c>
      <c r="G46" s="24" t="s">
        <v>328</v>
      </c>
      <c r="H46" s="25" t="s">
        <v>22</v>
      </c>
      <c r="I46" s="25"/>
      <c r="J46" s="26">
        <v>85</v>
      </c>
      <c r="K46" s="24">
        <f>"63,9370"</f>
        <v>0</v>
      </c>
      <c r="L46" s="24"/>
    </row>
    <row r="47" spans="1:12" ht="14.25">
      <c r="A47" s="24" t="s">
        <v>601</v>
      </c>
      <c r="B47" s="24" t="s">
        <v>602</v>
      </c>
      <c r="C47" s="24" t="s">
        <v>603</v>
      </c>
      <c r="D47" s="24">
        <f>"0,7531"</f>
        <v>0</v>
      </c>
      <c r="E47" s="24" t="s">
        <v>223</v>
      </c>
      <c r="F47" s="25" t="s">
        <v>29</v>
      </c>
      <c r="G47" s="24" t="s">
        <v>29</v>
      </c>
      <c r="H47" s="25" t="s">
        <v>30</v>
      </c>
      <c r="I47" s="25"/>
      <c r="J47" s="26">
        <v>120</v>
      </c>
      <c r="K47" s="24">
        <f>"90,3780"</f>
        <v>0</v>
      </c>
      <c r="L47" s="24"/>
    </row>
    <row r="48" spans="1:12" ht="14.25">
      <c r="A48" s="24" t="s">
        <v>604</v>
      </c>
      <c r="B48" s="24" t="s">
        <v>605</v>
      </c>
      <c r="C48" s="24" t="s">
        <v>606</v>
      </c>
      <c r="D48" s="24">
        <f>"0,7570"</f>
        <v>0</v>
      </c>
      <c r="E48" s="24" t="s">
        <v>509</v>
      </c>
      <c r="F48" s="25" t="s">
        <v>17</v>
      </c>
      <c r="G48" s="25" t="s">
        <v>18</v>
      </c>
      <c r="H48" s="25" t="s">
        <v>18</v>
      </c>
      <c r="I48" s="25"/>
      <c r="J48" s="26">
        <v>0</v>
      </c>
      <c r="K48" s="24">
        <f>"0,0000"</f>
        <v>0</v>
      </c>
      <c r="L48" s="24"/>
    </row>
    <row r="49" spans="1:12" ht="14.25">
      <c r="A49" s="20" t="s">
        <v>607</v>
      </c>
      <c r="B49" s="20" t="s">
        <v>608</v>
      </c>
      <c r="C49" s="20" t="s">
        <v>609</v>
      </c>
      <c r="D49" s="20">
        <f>"0,9470"</f>
        <v>0</v>
      </c>
      <c r="E49" s="20" t="s">
        <v>223</v>
      </c>
      <c r="F49" s="21" t="s">
        <v>16</v>
      </c>
      <c r="G49" s="20" t="s">
        <v>16</v>
      </c>
      <c r="H49" s="20" t="s">
        <v>217</v>
      </c>
      <c r="I49" s="21"/>
      <c r="J49" s="22">
        <v>105</v>
      </c>
      <c r="K49" s="20">
        <f>"99,4308"</f>
        <v>0</v>
      </c>
      <c r="L49" s="20"/>
    </row>
    <row r="51" spans="1:11" ht="16.5">
      <c r="A51" s="23" t="s">
        <v>25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2" ht="14.25">
      <c r="A52" s="16" t="s">
        <v>610</v>
      </c>
      <c r="B52" s="16" t="s">
        <v>611</v>
      </c>
      <c r="C52" s="16" t="s">
        <v>612</v>
      </c>
      <c r="D52" s="16">
        <f>"0,6899"</f>
        <v>0</v>
      </c>
      <c r="E52" s="16" t="s">
        <v>509</v>
      </c>
      <c r="F52" s="16" t="s">
        <v>62</v>
      </c>
      <c r="G52" s="16" t="s">
        <v>36</v>
      </c>
      <c r="H52" s="18" t="s">
        <v>120</v>
      </c>
      <c r="I52" s="18"/>
      <c r="J52" s="19">
        <v>140</v>
      </c>
      <c r="K52" s="16">
        <f>"96,5860"</f>
        <v>0</v>
      </c>
      <c r="L52" s="16"/>
    </row>
    <row r="53" spans="1:12" ht="14.25">
      <c r="A53" s="24" t="s">
        <v>613</v>
      </c>
      <c r="B53" s="24" t="s">
        <v>614</v>
      </c>
      <c r="C53" s="24" t="s">
        <v>615</v>
      </c>
      <c r="D53" s="24">
        <f>"0,7140"</f>
        <v>0</v>
      </c>
      <c r="E53" s="24" t="s">
        <v>15</v>
      </c>
      <c r="F53" s="24" t="s">
        <v>17</v>
      </c>
      <c r="G53" s="25" t="s">
        <v>555</v>
      </c>
      <c r="H53" s="25" t="s">
        <v>555</v>
      </c>
      <c r="I53" s="25"/>
      <c r="J53" s="26" t="s">
        <v>173</v>
      </c>
      <c r="K53" s="24" t="s">
        <v>616</v>
      </c>
      <c r="L53" s="24"/>
    </row>
    <row r="54" spans="1:12" ht="14.25">
      <c r="A54" s="24" t="s">
        <v>617</v>
      </c>
      <c r="B54" s="24" t="s">
        <v>618</v>
      </c>
      <c r="C54" s="24" t="s">
        <v>619</v>
      </c>
      <c r="D54" s="24">
        <f>"0,6906"</f>
        <v>0</v>
      </c>
      <c r="E54" s="24" t="s">
        <v>67</v>
      </c>
      <c r="F54" s="25" t="s">
        <v>240</v>
      </c>
      <c r="G54" s="24" t="s">
        <v>240</v>
      </c>
      <c r="H54" s="25" t="s">
        <v>620</v>
      </c>
      <c r="I54" s="25"/>
      <c r="J54" s="26">
        <v>185</v>
      </c>
      <c r="K54" s="24">
        <f>"127,7610"</f>
        <v>0</v>
      </c>
      <c r="L54" s="24"/>
    </row>
    <row r="55" spans="1:12" ht="14.25">
      <c r="A55" s="24" t="s">
        <v>621</v>
      </c>
      <c r="B55" s="24" t="s">
        <v>622</v>
      </c>
      <c r="C55" s="24" t="s">
        <v>39</v>
      </c>
      <c r="D55" s="24">
        <f>"0,6885"</f>
        <v>0</v>
      </c>
      <c r="E55" s="24" t="s">
        <v>623</v>
      </c>
      <c r="F55" s="24" t="s">
        <v>92</v>
      </c>
      <c r="G55" s="24" t="s">
        <v>46</v>
      </c>
      <c r="H55" s="25"/>
      <c r="I55" s="25"/>
      <c r="J55" s="26">
        <v>170</v>
      </c>
      <c r="K55" s="24">
        <f>"117,0535"</f>
        <v>0</v>
      </c>
      <c r="L55" s="24"/>
    </row>
    <row r="56" spans="1:12" ht="14.25">
      <c r="A56" s="24" t="s">
        <v>624</v>
      </c>
      <c r="B56" s="24" t="s">
        <v>625</v>
      </c>
      <c r="C56" s="24" t="s">
        <v>222</v>
      </c>
      <c r="D56" s="24">
        <f>"0,6934"</f>
        <v>0</v>
      </c>
      <c r="E56" s="24" t="s">
        <v>15</v>
      </c>
      <c r="F56" s="24" t="s">
        <v>92</v>
      </c>
      <c r="G56" s="25" t="s">
        <v>626</v>
      </c>
      <c r="H56" s="25" t="s">
        <v>626</v>
      </c>
      <c r="I56" s="25"/>
      <c r="J56" s="26" t="s">
        <v>627</v>
      </c>
      <c r="K56" s="24" t="s">
        <v>628</v>
      </c>
      <c r="L56" s="24"/>
    </row>
    <row r="57" spans="1:12" ht="14.25">
      <c r="A57" s="24" t="s">
        <v>629</v>
      </c>
      <c r="B57" s="24" t="s">
        <v>630</v>
      </c>
      <c r="C57" s="24" t="s">
        <v>39</v>
      </c>
      <c r="D57" s="24">
        <f>"0,6885"</f>
        <v>0</v>
      </c>
      <c r="E57" s="24" t="s">
        <v>223</v>
      </c>
      <c r="F57" s="24" t="s">
        <v>36</v>
      </c>
      <c r="G57" s="24" t="s">
        <v>486</v>
      </c>
      <c r="H57" s="25"/>
      <c r="I57" s="25"/>
      <c r="J57" s="26">
        <v>160</v>
      </c>
      <c r="K57" s="24">
        <f>"110,1680"</f>
        <v>0</v>
      </c>
      <c r="L57" s="24"/>
    </row>
    <row r="58" spans="1:12" ht="14.25">
      <c r="A58" s="24" t="s">
        <v>631</v>
      </c>
      <c r="B58" s="24" t="s">
        <v>632</v>
      </c>
      <c r="C58" s="24" t="s">
        <v>39</v>
      </c>
      <c r="D58" s="24">
        <f>"0,6954"</f>
        <v>0</v>
      </c>
      <c r="E58" s="24" t="s">
        <v>15</v>
      </c>
      <c r="F58" s="24" t="s">
        <v>36</v>
      </c>
      <c r="G58" s="25" t="s">
        <v>246</v>
      </c>
      <c r="H58" s="25" t="s">
        <v>246</v>
      </c>
      <c r="I58" s="25"/>
      <c r="J58" s="26">
        <v>140</v>
      </c>
      <c r="K58" s="24">
        <f>"97,3610"</f>
        <v>0</v>
      </c>
      <c r="L58" s="24"/>
    </row>
    <row r="59" spans="1:12" ht="14.25">
      <c r="A59" s="24" t="s">
        <v>220</v>
      </c>
      <c r="B59" s="24" t="s">
        <v>221</v>
      </c>
      <c r="C59" s="24" t="s">
        <v>222</v>
      </c>
      <c r="D59" s="24">
        <f>"0,7315"</f>
        <v>0</v>
      </c>
      <c r="E59" s="24" t="s">
        <v>223</v>
      </c>
      <c r="F59" s="24" t="s">
        <v>30</v>
      </c>
      <c r="G59" s="25" t="s">
        <v>633</v>
      </c>
      <c r="H59" s="25" t="s">
        <v>36</v>
      </c>
      <c r="I59" s="25"/>
      <c r="J59" s="26" t="s">
        <v>634</v>
      </c>
      <c r="K59" s="24" t="s">
        <v>635</v>
      </c>
      <c r="L59" s="24"/>
    </row>
    <row r="60" spans="1:12" ht="14.25">
      <c r="A60" s="24" t="s">
        <v>636</v>
      </c>
      <c r="B60" s="24" t="s">
        <v>637</v>
      </c>
      <c r="C60" s="24" t="s">
        <v>558</v>
      </c>
      <c r="D60" s="24">
        <f>"0,9452"</f>
        <v>0</v>
      </c>
      <c r="E60" s="24" t="s">
        <v>638</v>
      </c>
      <c r="F60" s="24" t="s">
        <v>528</v>
      </c>
      <c r="G60" s="24" t="s">
        <v>22</v>
      </c>
      <c r="H60" s="25" t="s">
        <v>23</v>
      </c>
      <c r="I60" s="25"/>
      <c r="J60" s="26">
        <v>90</v>
      </c>
      <c r="K60" s="24">
        <f>"85,0683"</f>
        <v>0</v>
      </c>
      <c r="L60" s="24"/>
    </row>
    <row r="61" spans="1:12" ht="14.25">
      <c r="A61" s="24" t="s">
        <v>639</v>
      </c>
      <c r="B61" s="24" t="s">
        <v>640</v>
      </c>
      <c r="C61" s="24" t="s">
        <v>641</v>
      </c>
      <c r="D61" s="24">
        <f>"1,1434"</f>
        <v>0</v>
      </c>
      <c r="E61" s="24" t="s">
        <v>412</v>
      </c>
      <c r="F61" s="24" t="s">
        <v>260</v>
      </c>
      <c r="G61" s="25" t="s">
        <v>17</v>
      </c>
      <c r="H61" s="25" t="s">
        <v>17</v>
      </c>
      <c r="I61" s="25"/>
      <c r="J61" s="26" t="s">
        <v>260</v>
      </c>
      <c r="K61" s="24" t="s">
        <v>642</v>
      </c>
      <c r="L61" s="24"/>
    </row>
    <row r="62" spans="1:12" ht="14.25">
      <c r="A62" s="20" t="s">
        <v>643</v>
      </c>
      <c r="B62" s="20" t="s">
        <v>644</v>
      </c>
      <c r="C62" s="20" t="s">
        <v>645</v>
      </c>
      <c r="D62" s="20">
        <f>"1,2433"</f>
        <v>0</v>
      </c>
      <c r="E62" s="20" t="s">
        <v>509</v>
      </c>
      <c r="F62" s="20" t="s">
        <v>526</v>
      </c>
      <c r="G62" s="20" t="s">
        <v>527</v>
      </c>
      <c r="H62" s="21" t="s">
        <v>22</v>
      </c>
      <c r="I62" s="21"/>
      <c r="J62" s="22">
        <v>80</v>
      </c>
      <c r="K62" s="20">
        <f>"99,4653"</f>
        <v>0</v>
      </c>
      <c r="L62" s="20"/>
    </row>
    <row r="64" spans="1:11" ht="16.5">
      <c r="A64" s="23" t="s">
        <v>49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2" ht="14.25">
      <c r="A65" s="16" t="s">
        <v>646</v>
      </c>
      <c r="B65" s="16" t="s">
        <v>647</v>
      </c>
      <c r="C65" s="16" t="s">
        <v>648</v>
      </c>
      <c r="D65" s="16">
        <f>"0,6557"</f>
        <v>0</v>
      </c>
      <c r="E65" s="16" t="s">
        <v>15</v>
      </c>
      <c r="F65" s="16" t="s">
        <v>24</v>
      </c>
      <c r="G65" s="16" t="s">
        <v>516</v>
      </c>
      <c r="H65" s="16" t="s">
        <v>260</v>
      </c>
      <c r="I65" s="18"/>
      <c r="J65" s="19">
        <v>107.5</v>
      </c>
      <c r="K65" s="16">
        <f>"70,4824"</f>
        <v>0</v>
      </c>
      <c r="L65" s="16"/>
    </row>
    <row r="66" spans="1:12" ht="14.25">
      <c r="A66" s="24" t="s">
        <v>649</v>
      </c>
      <c r="B66" s="24" t="s">
        <v>650</v>
      </c>
      <c r="C66" s="24" t="s">
        <v>651</v>
      </c>
      <c r="D66" s="24">
        <f>"0,6492"</f>
        <v>0</v>
      </c>
      <c r="E66" s="24" t="s">
        <v>15</v>
      </c>
      <c r="F66" s="24" t="s">
        <v>46</v>
      </c>
      <c r="G66" s="24" t="s">
        <v>47</v>
      </c>
      <c r="H66" s="24" t="s">
        <v>652</v>
      </c>
      <c r="I66" s="25"/>
      <c r="J66" s="26">
        <v>185</v>
      </c>
      <c r="K66" s="24">
        <f>"120,1112"</f>
        <v>0</v>
      </c>
      <c r="L66" s="24"/>
    </row>
    <row r="67" spans="1:12" ht="14.25">
      <c r="A67" s="24" t="s">
        <v>225</v>
      </c>
      <c r="B67" s="24" t="s">
        <v>226</v>
      </c>
      <c r="C67" s="24" t="s">
        <v>227</v>
      </c>
      <c r="D67" s="24">
        <f>"0,6508"</f>
        <v>0</v>
      </c>
      <c r="E67" s="24" t="s">
        <v>228</v>
      </c>
      <c r="F67" s="24" t="s">
        <v>46</v>
      </c>
      <c r="G67" s="24" t="s">
        <v>93</v>
      </c>
      <c r="H67" s="25" t="s">
        <v>653</v>
      </c>
      <c r="I67" s="25"/>
      <c r="J67" s="26">
        <v>175</v>
      </c>
      <c r="K67" s="24">
        <f>"113,8900"</f>
        <v>0</v>
      </c>
      <c r="L67" s="24"/>
    </row>
    <row r="68" spans="1:12" ht="14.25">
      <c r="A68" s="24" t="s">
        <v>654</v>
      </c>
      <c r="B68" s="24" t="s">
        <v>655</v>
      </c>
      <c r="C68" s="24" t="s">
        <v>656</v>
      </c>
      <c r="D68" s="24">
        <f>"0,6561"</f>
        <v>0</v>
      </c>
      <c r="E68" s="24" t="s">
        <v>15</v>
      </c>
      <c r="F68" s="24" t="s">
        <v>92</v>
      </c>
      <c r="G68" s="25" t="s">
        <v>46</v>
      </c>
      <c r="H68" s="25" t="s">
        <v>46</v>
      </c>
      <c r="I68" s="25"/>
      <c r="J68" s="26" t="s">
        <v>627</v>
      </c>
      <c r="K68" s="24" t="s">
        <v>657</v>
      </c>
      <c r="L68" s="24"/>
    </row>
    <row r="69" spans="1:12" ht="14.25">
      <c r="A69" s="24" t="s">
        <v>658</v>
      </c>
      <c r="B69" s="24" t="s">
        <v>659</v>
      </c>
      <c r="C69" s="24" t="s">
        <v>660</v>
      </c>
      <c r="D69" s="24">
        <f>"0,6600"</f>
        <v>0</v>
      </c>
      <c r="E69" s="24" t="s">
        <v>324</v>
      </c>
      <c r="F69" s="24" t="s">
        <v>36</v>
      </c>
      <c r="G69" s="25" t="s">
        <v>120</v>
      </c>
      <c r="H69" s="25" t="s">
        <v>120</v>
      </c>
      <c r="I69" s="25"/>
      <c r="J69" s="26" t="s">
        <v>175</v>
      </c>
      <c r="K69" s="24" t="s">
        <v>661</v>
      </c>
      <c r="L69" s="24"/>
    </row>
    <row r="70" spans="1:12" ht="14.25">
      <c r="A70" s="24" t="s">
        <v>662</v>
      </c>
      <c r="B70" s="24" t="s">
        <v>663</v>
      </c>
      <c r="C70" s="24" t="s">
        <v>664</v>
      </c>
      <c r="D70" s="24">
        <f>"0,6755"</f>
        <v>0</v>
      </c>
      <c r="E70" s="24" t="s">
        <v>15</v>
      </c>
      <c r="F70" s="24" t="s">
        <v>18</v>
      </c>
      <c r="G70" s="25" t="s">
        <v>35</v>
      </c>
      <c r="H70" s="25" t="s">
        <v>36</v>
      </c>
      <c r="I70" s="25"/>
      <c r="J70" s="26" t="s">
        <v>665</v>
      </c>
      <c r="K70" s="24" t="s">
        <v>666</v>
      </c>
      <c r="L70" s="24"/>
    </row>
    <row r="71" spans="1:12" ht="14.25">
      <c r="A71" s="24" t="s">
        <v>667</v>
      </c>
      <c r="B71" s="24" t="s">
        <v>668</v>
      </c>
      <c r="C71" s="24" t="s">
        <v>651</v>
      </c>
      <c r="D71" s="24">
        <f>"0,6492"</f>
        <v>0</v>
      </c>
      <c r="E71" s="24" t="s">
        <v>623</v>
      </c>
      <c r="F71" s="24" t="s">
        <v>87</v>
      </c>
      <c r="G71" s="24" t="s">
        <v>88</v>
      </c>
      <c r="H71" s="25" t="s">
        <v>40</v>
      </c>
      <c r="I71" s="25"/>
      <c r="J71" s="26">
        <v>210</v>
      </c>
      <c r="K71" s="24">
        <f>"136,3425"</f>
        <v>0</v>
      </c>
      <c r="L71" s="24"/>
    </row>
    <row r="72" spans="1:12" ht="14.25">
      <c r="A72" s="24" t="s">
        <v>669</v>
      </c>
      <c r="B72" s="24" t="s">
        <v>670</v>
      </c>
      <c r="C72" s="24" t="s">
        <v>671</v>
      </c>
      <c r="D72" s="24">
        <f>"0,6487"</f>
        <v>0</v>
      </c>
      <c r="E72" s="24" t="s">
        <v>15</v>
      </c>
      <c r="F72" s="24" t="s">
        <v>206</v>
      </c>
      <c r="G72" s="24" t="s">
        <v>36</v>
      </c>
      <c r="H72" s="24" t="s">
        <v>672</v>
      </c>
      <c r="I72" s="25"/>
      <c r="J72" s="26">
        <v>147.5</v>
      </c>
      <c r="K72" s="24">
        <f>"95,6832"</f>
        <v>0</v>
      </c>
      <c r="L72" s="24"/>
    </row>
    <row r="73" spans="1:12" ht="14.25">
      <c r="A73" s="24" t="s">
        <v>673</v>
      </c>
      <c r="B73" s="24" t="s">
        <v>674</v>
      </c>
      <c r="C73" s="24" t="s">
        <v>656</v>
      </c>
      <c r="D73" s="24">
        <f>"0,7198"</f>
        <v>0</v>
      </c>
      <c r="E73" s="24" t="s">
        <v>228</v>
      </c>
      <c r="F73" s="24" t="s">
        <v>594</v>
      </c>
      <c r="G73" s="24" t="s">
        <v>540</v>
      </c>
      <c r="H73" s="25" t="s">
        <v>16</v>
      </c>
      <c r="I73" s="25"/>
      <c r="J73" s="26">
        <v>70</v>
      </c>
      <c r="K73" s="24">
        <f>"50,3858"</f>
        <v>0</v>
      </c>
      <c r="L73" s="24"/>
    </row>
    <row r="74" spans="1:12" ht="14.25">
      <c r="A74" s="24" t="s">
        <v>675</v>
      </c>
      <c r="B74" s="24" t="s">
        <v>676</v>
      </c>
      <c r="C74" s="24" t="s">
        <v>677</v>
      </c>
      <c r="D74" s="24">
        <f>"0,9110"</f>
        <v>0</v>
      </c>
      <c r="E74" s="24" t="s">
        <v>15</v>
      </c>
      <c r="F74" s="24" t="s">
        <v>36</v>
      </c>
      <c r="G74" s="24" t="s">
        <v>672</v>
      </c>
      <c r="H74" s="25" t="s">
        <v>678</v>
      </c>
      <c r="I74" s="25"/>
      <c r="J74" s="26">
        <v>147.5</v>
      </c>
      <c r="K74" s="24">
        <f>"134,3757"</f>
        <v>0</v>
      </c>
      <c r="L74" s="24"/>
    </row>
    <row r="75" spans="1:12" ht="14.25">
      <c r="A75" s="24" t="s">
        <v>679</v>
      </c>
      <c r="B75" s="24" t="s">
        <v>680</v>
      </c>
      <c r="C75" s="24" t="s">
        <v>681</v>
      </c>
      <c r="D75" s="24">
        <f>"0,9555"</f>
        <v>0</v>
      </c>
      <c r="E75" s="24" t="s">
        <v>15</v>
      </c>
      <c r="F75" s="25" t="s">
        <v>18</v>
      </c>
      <c r="G75" s="24" t="s">
        <v>29</v>
      </c>
      <c r="H75" s="25" t="s">
        <v>35</v>
      </c>
      <c r="I75" s="25"/>
      <c r="J75" s="26">
        <v>120</v>
      </c>
      <c r="K75" s="24">
        <f>"114,6573"</f>
        <v>0</v>
      </c>
      <c r="L75" s="24"/>
    </row>
    <row r="76" spans="1:12" ht="14.25">
      <c r="A76" s="24" t="s">
        <v>59</v>
      </c>
      <c r="B76" s="24" t="s">
        <v>60</v>
      </c>
      <c r="C76" s="24" t="s">
        <v>61</v>
      </c>
      <c r="D76" s="24">
        <f>"0,9189"</f>
        <v>0</v>
      </c>
      <c r="E76" s="24" t="s">
        <v>15</v>
      </c>
      <c r="F76" s="25" t="s">
        <v>36</v>
      </c>
      <c r="G76" s="25"/>
      <c r="H76" s="25"/>
      <c r="I76" s="25"/>
      <c r="J76" s="26">
        <v>0</v>
      </c>
      <c r="K76" s="24">
        <f>"0,0000"</f>
        <v>0</v>
      </c>
      <c r="L76" s="24"/>
    </row>
    <row r="77" spans="1:12" ht="14.25">
      <c r="A77" s="24" t="s">
        <v>682</v>
      </c>
      <c r="B77" s="24" t="s">
        <v>683</v>
      </c>
      <c r="C77" s="24" t="s">
        <v>258</v>
      </c>
      <c r="D77" s="24">
        <f>"1,0915"</f>
        <v>0</v>
      </c>
      <c r="E77" s="24" t="s">
        <v>259</v>
      </c>
      <c r="F77" s="24" t="s">
        <v>22</v>
      </c>
      <c r="G77" s="25" t="s">
        <v>23</v>
      </c>
      <c r="H77" s="25" t="s">
        <v>16</v>
      </c>
      <c r="I77" s="25"/>
      <c r="J77" s="26" t="s">
        <v>181</v>
      </c>
      <c r="K77" s="24" t="s">
        <v>684</v>
      </c>
      <c r="L77" s="24"/>
    </row>
    <row r="78" spans="1:12" ht="14.25">
      <c r="A78" s="24" t="s">
        <v>256</v>
      </c>
      <c r="B78" s="24" t="s">
        <v>257</v>
      </c>
      <c r="C78" s="24" t="s">
        <v>258</v>
      </c>
      <c r="D78" s="24">
        <f>"1,2175"</f>
        <v>0</v>
      </c>
      <c r="E78" s="24" t="s">
        <v>259</v>
      </c>
      <c r="F78" s="24" t="s">
        <v>511</v>
      </c>
      <c r="G78" s="24" t="s">
        <v>516</v>
      </c>
      <c r="H78" s="24" t="s">
        <v>217</v>
      </c>
      <c r="I78" s="25"/>
      <c r="J78" s="26">
        <v>105</v>
      </c>
      <c r="K78" s="24">
        <f>"127,8399"</f>
        <v>0</v>
      </c>
      <c r="L78" s="24"/>
    </row>
    <row r="79" spans="1:12" ht="14.25">
      <c r="A79" s="24" t="s">
        <v>685</v>
      </c>
      <c r="B79" s="24" t="s">
        <v>686</v>
      </c>
      <c r="C79" s="24" t="s">
        <v>687</v>
      </c>
      <c r="D79" s="24">
        <f>"1,3507"</f>
        <v>0</v>
      </c>
      <c r="E79" s="24" t="s">
        <v>15</v>
      </c>
      <c r="F79" s="24" t="s">
        <v>526</v>
      </c>
      <c r="G79" s="24" t="s">
        <v>527</v>
      </c>
      <c r="H79" s="24" t="s">
        <v>512</v>
      </c>
      <c r="I79" s="25"/>
      <c r="J79" s="26">
        <v>82.5</v>
      </c>
      <c r="K79" s="24">
        <f>"111,4301"</f>
        <v>0</v>
      </c>
      <c r="L79" s="24"/>
    </row>
    <row r="80" spans="1:12" ht="14.25">
      <c r="A80" s="24" t="s">
        <v>688</v>
      </c>
      <c r="B80" s="24" t="s">
        <v>689</v>
      </c>
      <c r="C80" s="24" t="s">
        <v>690</v>
      </c>
      <c r="D80" s="24">
        <f>"1,2684"</f>
        <v>0</v>
      </c>
      <c r="E80" s="24" t="s">
        <v>15</v>
      </c>
      <c r="F80" s="24" t="s">
        <v>524</v>
      </c>
      <c r="G80" s="24" t="s">
        <v>691</v>
      </c>
      <c r="H80" s="24" t="s">
        <v>540</v>
      </c>
      <c r="I80" s="25"/>
      <c r="J80" s="26">
        <v>70</v>
      </c>
      <c r="K80" s="24">
        <f>"88,7855"</f>
        <v>0</v>
      </c>
      <c r="L80" s="24"/>
    </row>
    <row r="81" spans="1:12" ht="14.25">
      <c r="A81" s="20" t="s">
        <v>410</v>
      </c>
      <c r="B81" s="20" t="s">
        <v>411</v>
      </c>
      <c r="C81" s="20" t="s">
        <v>692</v>
      </c>
      <c r="D81" s="20">
        <f>"1,4101"</f>
        <v>0</v>
      </c>
      <c r="E81" s="20" t="s">
        <v>412</v>
      </c>
      <c r="F81" s="20" t="s">
        <v>328</v>
      </c>
      <c r="G81" s="20" t="s">
        <v>22</v>
      </c>
      <c r="H81" s="20" t="s">
        <v>693</v>
      </c>
      <c r="I81" s="21"/>
      <c r="J81" s="22">
        <v>92.5</v>
      </c>
      <c r="K81" s="20">
        <f>"130,4336"</f>
        <v>0</v>
      </c>
      <c r="L81" s="20"/>
    </row>
    <row r="83" spans="1:11" ht="16.5">
      <c r="A83" s="23" t="s">
        <v>63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2" ht="14.25">
      <c r="A84" s="16" t="s">
        <v>694</v>
      </c>
      <c r="B84" s="16" t="s">
        <v>695</v>
      </c>
      <c r="C84" s="16" t="s">
        <v>428</v>
      </c>
      <c r="D84" s="16">
        <f>"0,6122"</f>
        <v>0</v>
      </c>
      <c r="E84" s="16" t="s">
        <v>15</v>
      </c>
      <c r="F84" s="16" t="s">
        <v>30</v>
      </c>
      <c r="G84" s="18" t="s">
        <v>62</v>
      </c>
      <c r="H84" s="16" t="s">
        <v>62</v>
      </c>
      <c r="I84" s="18"/>
      <c r="J84" s="19">
        <v>135</v>
      </c>
      <c r="K84" s="16">
        <f>"82,6537"</f>
        <v>0</v>
      </c>
      <c r="L84" s="16"/>
    </row>
    <row r="85" spans="1:12" ht="14.25">
      <c r="A85" s="24" t="s">
        <v>696</v>
      </c>
      <c r="B85" s="24" t="s">
        <v>697</v>
      </c>
      <c r="C85" s="24" t="s">
        <v>698</v>
      </c>
      <c r="D85" s="24">
        <f>"0,6230"</f>
        <v>0</v>
      </c>
      <c r="E85" s="24" t="s">
        <v>15</v>
      </c>
      <c r="F85" s="25" t="s">
        <v>88</v>
      </c>
      <c r="G85" s="24" t="s">
        <v>88</v>
      </c>
      <c r="H85" s="25" t="s">
        <v>40</v>
      </c>
      <c r="I85" s="25"/>
      <c r="J85" s="26">
        <v>210</v>
      </c>
      <c r="K85" s="24">
        <f>"130,8300"</f>
        <v>0</v>
      </c>
      <c r="L85" s="24"/>
    </row>
    <row r="86" spans="1:12" ht="14.25">
      <c r="A86" s="24" t="s">
        <v>64</v>
      </c>
      <c r="B86" s="24" t="s">
        <v>65</v>
      </c>
      <c r="C86" s="24" t="s">
        <v>66</v>
      </c>
      <c r="D86" s="24">
        <f>"0,6192"</f>
        <v>0</v>
      </c>
      <c r="E86" s="24" t="s">
        <v>67</v>
      </c>
      <c r="F86" s="24" t="s">
        <v>88</v>
      </c>
      <c r="G86" s="25" t="s">
        <v>40</v>
      </c>
      <c r="H86" s="25" t="s">
        <v>40</v>
      </c>
      <c r="I86" s="25"/>
      <c r="J86" s="26" t="s">
        <v>699</v>
      </c>
      <c r="K86" s="24" t="s">
        <v>700</v>
      </c>
      <c r="L86" s="24"/>
    </row>
    <row r="87" spans="1:12" ht="14.25">
      <c r="A87" s="24" t="s">
        <v>701</v>
      </c>
      <c r="B87" s="24" t="s">
        <v>702</v>
      </c>
      <c r="C87" s="24" t="s">
        <v>703</v>
      </c>
      <c r="D87" s="24">
        <f>"0,6181"</f>
        <v>0</v>
      </c>
      <c r="E87" s="24" t="s">
        <v>15</v>
      </c>
      <c r="F87" s="24" t="s">
        <v>212</v>
      </c>
      <c r="G87" s="25" t="s">
        <v>704</v>
      </c>
      <c r="H87" s="24" t="s">
        <v>704</v>
      </c>
      <c r="I87" s="25"/>
      <c r="J87" s="26">
        <v>197.5</v>
      </c>
      <c r="K87" s="24">
        <f>"122,0747"</f>
        <v>0</v>
      </c>
      <c r="L87" s="24"/>
    </row>
    <row r="88" spans="1:12" ht="14.25">
      <c r="A88" s="24" t="s">
        <v>705</v>
      </c>
      <c r="B88" s="24" t="s">
        <v>706</v>
      </c>
      <c r="C88" s="24" t="s">
        <v>707</v>
      </c>
      <c r="D88" s="24">
        <f>"0,6331"</f>
        <v>0</v>
      </c>
      <c r="E88" s="24" t="s">
        <v>15</v>
      </c>
      <c r="F88" s="24" t="s">
        <v>47</v>
      </c>
      <c r="G88" s="24" t="s">
        <v>131</v>
      </c>
      <c r="H88" s="25" t="s">
        <v>87</v>
      </c>
      <c r="I88" s="25"/>
      <c r="J88" s="26">
        <v>190</v>
      </c>
      <c r="K88" s="24">
        <f>"120,2890"</f>
        <v>0</v>
      </c>
      <c r="L88" s="24"/>
    </row>
    <row r="89" spans="1:12" ht="14.25">
      <c r="A89" s="24" t="s">
        <v>708</v>
      </c>
      <c r="B89" s="24" t="s">
        <v>709</v>
      </c>
      <c r="C89" s="24" t="s">
        <v>710</v>
      </c>
      <c r="D89" s="24">
        <f>"0,6269"</f>
        <v>0</v>
      </c>
      <c r="E89" s="24" t="s">
        <v>15</v>
      </c>
      <c r="F89" s="24" t="s">
        <v>47</v>
      </c>
      <c r="G89" s="24" t="s">
        <v>131</v>
      </c>
      <c r="H89" s="25" t="s">
        <v>212</v>
      </c>
      <c r="I89" s="25"/>
      <c r="J89" s="26">
        <v>190</v>
      </c>
      <c r="K89" s="24">
        <f>"119,1015"</f>
        <v>0</v>
      </c>
      <c r="L89" s="24"/>
    </row>
    <row r="90" spans="1:12" ht="14.25">
      <c r="A90" s="24" t="s">
        <v>711</v>
      </c>
      <c r="B90" s="24" t="s">
        <v>712</v>
      </c>
      <c r="C90" s="24" t="s">
        <v>713</v>
      </c>
      <c r="D90" s="24">
        <f>"0,6286"</f>
        <v>0</v>
      </c>
      <c r="E90" s="24" t="s">
        <v>15</v>
      </c>
      <c r="F90" s="25" t="s">
        <v>47</v>
      </c>
      <c r="G90" s="24" t="s">
        <v>240</v>
      </c>
      <c r="H90" s="25" t="s">
        <v>131</v>
      </c>
      <c r="I90" s="25"/>
      <c r="J90" s="26">
        <v>185</v>
      </c>
      <c r="K90" s="24">
        <f>"116,2910"</f>
        <v>0</v>
      </c>
      <c r="L90" s="24"/>
    </row>
    <row r="91" spans="1:12" ht="14.25">
      <c r="A91" s="24" t="s">
        <v>714</v>
      </c>
      <c r="B91" s="24" t="s">
        <v>715</v>
      </c>
      <c r="C91" s="24" t="s">
        <v>716</v>
      </c>
      <c r="D91" s="24">
        <f>"0,6177"</f>
        <v>0</v>
      </c>
      <c r="E91" s="24" t="s">
        <v>67</v>
      </c>
      <c r="F91" s="24" t="s">
        <v>240</v>
      </c>
      <c r="G91" s="25" t="s">
        <v>212</v>
      </c>
      <c r="H91" s="25" t="s">
        <v>212</v>
      </c>
      <c r="I91" s="25"/>
      <c r="J91" s="26">
        <v>185</v>
      </c>
      <c r="K91" s="24">
        <f>"114,2745"</f>
        <v>0</v>
      </c>
      <c r="L91" s="24"/>
    </row>
    <row r="92" spans="1:12" ht="14.25">
      <c r="A92" s="24" t="s">
        <v>717</v>
      </c>
      <c r="B92" s="24" t="s">
        <v>718</v>
      </c>
      <c r="C92" s="24" t="s">
        <v>263</v>
      </c>
      <c r="D92" s="24">
        <f>"0,6184"</f>
        <v>0</v>
      </c>
      <c r="E92" s="24" t="s">
        <v>228</v>
      </c>
      <c r="F92" s="24" t="s">
        <v>46</v>
      </c>
      <c r="G92" s="25" t="s">
        <v>47</v>
      </c>
      <c r="H92" s="25" t="s">
        <v>620</v>
      </c>
      <c r="I92" s="25"/>
      <c r="J92" s="26">
        <v>170</v>
      </c>
      <c r="K92" s="24">
        <f>"105,1365"</f>
        <v>0</v>
      </c>
      <c r="L92" s="24"/>
    </row>
    <row r="93" spans="1:12" ht="14.25">
      <c r="A93" s="24" t="s">
        <v>719</v>
      </c>
      <c r="B93" s="24" t="s">
        <v>720</v>
      </c>
      <c r="C93" s="24" t="s">
        <v>721</v>
      </c>
      <c r="D93" s="24">
        <f>"0,6133"</f>
        <v>0</v>
      </c>
      <c r="E93" s="24" t="s">
        <v>327</v>
      </c>
      <c r="F93" s="25"/>
      <c r="G93" s="25"/>
      <c r="H93" s="25"/>
      <c r="I93" s="25"/>
      <c r="J93" s="26">
        <v>0</v>
      </c>
      <c r="K93" s="24">
        <f>"0,0000"</f>
        <v>0</v>
      </c>
      <c r="L93" s="24"/>
    </row>
    <row r="94" spans="1:12" ht="14.25">
      <c r="A94" s="24" t="s">
        <v>708</v>
      </c>
      <c r="B94" s="24" t="s">
        <v>722</v>
      </c>
      <c r="C94" s="24" t="s">
        <v>710</v>
      </c>
      <c r="D94" s="24">
        <f>"0,6463"</f>
        <v>0</v>
      </c>
      <c r="E94" s="24" t="s">
        <v>15</v>
      </c>
      <c r="F94" s="24" t="s">
        <v>47</v>
      </c>
      <c r="G94" s="24" t="s">
        <v>131</v>
      </c>
      <c r="H94" s="25" t="s">
        <v>212</v>
      </c>
      <c r="I94" s="25"/>
      <c r="J94" s="26">
        <v>190</v>
      </c>
      <c r="K94" s="24">
        <f>"122,7937"</f>
        <v>0</v>
      </c>
      <c r="L94" s="24"/>
    </row>
    <row r="95" spans="1:12" ht="14.25">
      <c r="A95" s="24" t="s">
        <v>723</v>
      </c>
      <c r="B95" s="24" t="s">
        <v>724</v>
      </c>
      <c r="C95" s="24" t="s">
        <v>274</v>
      </c>
      <c r="D95" s="24">
        <f>"0,6420"</f>
        <v>0</v>
      </c>
      <c r="E95" s="24" t="s">
        <v>15</v>
      </c>
      <c r="F95" s="24" t="s">
        <v>87</v>
      </c>
      <c r="G95" s="25" t="s">
        <v>88</v>
      </c>
      <c r="H95" s="25" t="s">
        <v>88</v>
      </c>
      <c r="I95" s="25"/>
      <c r="J95" s="26" t="s">
        <v>725</v>
      </c>
      <c r="K95" s="24" t="s">
        <v>726</v>
      </c>
      <c r="L95" s="24"/>
    </row>
    <row r="96" spans="1:12" ht="14.25">
      <c r="A96" s="24" t="s">
        <v>719</v>
      </c>
      <c r="B96" s="24" t="s">
        <v>727</v>
      </c>
      <c r="C96" s="24" t="s">
        <v>721</v>
      </c>
      <c r="D96" s="24">
        <f>"0,6636"</f>
        <v>0</v>
      </c>
      <c r="E96" s="24" t="s">
        <v>327</v>
      </c>
      <c r="F96" s="24" t="s">
        <v>40</v>
      </c>
      <c r="G96" s="24" t="s">
        <v>294</v>
      </c>
      <c r="H96" s="24" t="s">
        <v>728</v>
      </c>
      <c r="I96" s="24" t="s">
        <v>267</v>
      </c>
      <c r="J96" s="26">
        <v>232.5</v>
      </c>
      <c r="K96" s="24">
        <f>"154,2974"</f>
        <v>0</v>
      </c>
      <c r="L96" s="24"/>
    </row>
    <row r="97" spans="1:12" ht="14.25">
      <c r="A97" s="24" t="s">
        <v>729</v>
      </c>
      <c r="B97" s="24" t="s">
        <v>730</v>
      </c>
      <c r="C97" s="24" t="s">
        <v>731</v>
      </c>
      <c r="D97" s="24">
        <f>"0,6649"</f>
        <v>0</v>
      </c>
      <c r="E97" s="24" t="s">
        <v>15</v>
      </c>
      <c r="F97" s="24" t="s">
        <v>47</v>
      </c>
      <c r="G97" s="24" t="s">
        <v>131</v>
      </c>
      <c r="H97" s="24" t="s">
        <v>620</v>
      </c>
      <c r="I97" s="25"/>
      <c r="J97" s="26">
        <v>192.5</v>
      </c>
      <c r="K97" s="24">
        <f>"128,0003"</f>
        <v>0</v>
      </c>
      <c r="L97" s="24"/>
    </row>
    <row r="98" spans="1:12" ht="14.25">
      <c r="A98" s="24" t="s">
        <v>732</v>
      </c>
      <c r="B98" s="24" t="s">
        <v>733</v>
      </c>
      <c r="C98" s="24" t="s">
        <v>707</v>
      </c>
      <c r="D98" s="24">
        <f>"0,7262"</f>
        <v>0</v>
      </c>
      <c r="E98" s="24" t="s">
        <v>211</v>
      </c>
      <c r="F98" s="24" t="s">
        <v>36</v>
      </c>
      <c r="G98" s="24" t="s">
        <v>672</v>
      </c>
      <c r="H98" s="25" t="s">
        <v>678</v>
      </c>
      <c r="I98" s="25"/>
      <c r="J98" s="26">
        <v>147.5</v>
      </c>
      <c r="K98" s="24">
        <f>"107,1094"</f>
        <v>0</v>
      </c>
      <c r="L98" s="24"/>
    </row>
    <row r="99" spans="1:12" ht="14.25">
      <c r="A99" s="24" t="s">
        <v>734</v>
      </c>
      <c r="B99" s="24" t="s">
        <v>735</v>
      </c>
      <c r="C99" s="24" t="s">
        <v>736</v>
      </c>
      <c r="D99" s="24">
        <f>"0,7447"</f>
        <v>0</v>
      </c>
      <c r="E99" s="24" t="s">
        <v>15</v>
      </c>
      <c r="F99" s="24" t="s">
        <v>30</v>
      </c>
      <c r="G99" s="25" t="s">
        <v>62</v>
      </c>
      <c r="H99" s="25" t="s">
        <v>62</v>
      </c>
      <c r="I99" s="25"/>
      <c r="J99" s="26" t="s">
        <v>634</v>
      </c>
      <c r="K99" s="24" t="s">
        <v>737</v>
      </c>
      <c r="L99" s="24"/>
    </row>
    <row r="100" spans="1:12" ht="14.25">
      <c r="A100" s="24" t="s">
        <v>426</v>
      </c>
      <c r="B100" s="24" t="s">
        <v>427</v>
      </c>
      <c r="C100" s="24" t="s">
        <v>428</v>
      </c>
      <c r="D100" s="24">
        <f>"0,7763"</f>
        <v>0</v>
      </c>
      <c r="E100" s="24" t="s">
        <v>15</v>
      </c>
      <c r="F100" s="24" t="s">
        <v>46</v>
      </c>
      <c r="G100" s="24" t="s">
        <v>93</v>
      </c>
      <c r="H100" s="24" t="s">
        <v>47</v>
      </c>
      <c r="I100" s="25"/>
      <c r="J100" s="26">
        <v>180</v>
      </c>
      <c r="K100" s="24">
        <f>"139,7399"</f>
        <v>0</v>
      </c>
      <c r="L100" s="24"/>
    </row>
    <row r="101" spans="1:12" ht="14.25">
      <c r="A101" s="24" t="s">
        <v>738</v>
      </c>
      <c r="B101" s="24" t="s">
        <v>739</v>
      </c>
      <c r="C101" s="24" t="s">
        <v>740</v>
      </c>
      <c r="D101" s="24">
        <f>"0,7652"</f>
        <v>0</v>
      </c>
      <c r="E101" s="24" t="s">
        <v>15</v>
      </c>
      <c r="F101" s="24" t="s">
        <v>312</v>
      </c>
      <c r="G101" s="24" t="s">
        <v>46</v>
      </c>
      <c r="H101" s="24" t="s">
        <v>93</v>
      </c>
      <c r="I101" s="25"/>
      <c r="J101" s="26">
        <v>175</v>
      </c>
      <c r="K101" s="24">
        <f>"133,9093"</f>
        <v>0</v>
      </c>
      <c r="L101" s="24"/>
    </row>
    <row r="102" spans="1:12" ht="14.25">
      <c r="A102" s="20" t="s">
        <v>741</v>
      </c>
      <c r="B102" s="20" t="s">
        <v>742</v>
      </c>
      <c r="C102" s="20" t="s">
        <v>743</v>
      </c>
      <c r="D102" s="20">
        <f>"1,0658"</f>
        <v>0</v>
      </c>
      <c r="E102" s="20" t="s">
        <v>15</v>
      </c>
      <c r="F102" s="20" t="s">
        <v>16</v>
      </c>
      <c r="G102" s="20" t="s">
        <v>260</v>
      </c>
      <c r="H102" s="21" t="s">
        <v>218</v>
      </c>
      <c r="I102" s="21"/>
      <c r="J102" s="22">
        <v>107.5</v>
      </c>
      <c r="K102" s="20">
        <f>"114,5686"</f>
        <v>0</v>
      </c>
      <c r="L102" s="20"/>
    </row>
    <row r="104" spans="1:11" ht="16.5">
      <c r="A104" s="23" t="s">
        <v>69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2" ht="14.25">
      <c r="A105" s="16" t="s">
        <v>744</v>
      </c>
      <c r="B105" s="16" t="s">
        <v>745</v>
      </c>
      <c r="C105" s="16" t="s">
        <v>746</v>
      </c>
      <c r="D105" s="16">
        <f>"0,6071"</f>
        <v>0</v>
      </c>
      <c r="E105" s="16" t="s">
        <v>536</v>
      </c>
      <c r="F105" s="18" t="s">
        <v>486</v>
      </c>
      <c r="G105" s="18" t="s">
        <v>486</v>
      </c>
      <c r="H105" s="18" t="s">
        <v>46</v>
      </c>
      <c r="I105" s="18"/>
      <c r="J105" s="19">
        <v>0</v>
      </c>
      <c r="K105" s="16">
        <f>"0,0000"</f>
        <v>0</v>
      </c>
      <c r="L105" s="16"/>
    </row>
    <row r="106" spans="1:12" ht="14.25">
      <c r="A106" s="24" t="s">
        <v>747</v>
      </c>
      <c r="B106" s="24" t="s">
        <v>748</v>
      </c>
      <c r="C106" s="24" t="s">
        <v>749</v>
      </c>
      <c r="D106" s="24">
        <f>"0,5894"</f>
        <v>0</v>
      </c>
      <c r="E106" s="24" t="s">
        <v>232</v>
      </c>
      <c r="F106" s="24" t="s">
        <v>240</v>
      </c>
      <c r="G106" s="24" t="s">
        <v>131</v>
      </c>
      <c r="H106" s="25" t="s">
        <v>212</v>
      </c>
      <c r="I106" s="25"/>
      <c r="J106" s="26">
        <v>190</v>
      </c>
      <c r="K106" s="24">
        <f>"111,9860"</f>
        <v>0</v>
      </c>
      <c r="L106" s="24"/>
    </row>
    <row r="107" spans="1:12" ht="14.25">
      <c r="A107" s="24" t="s">
        <v>750</v>
      </c>
      <c r="B107" s="24" t="s">
        <v>751</v>
      </c>
      <c r="C107" s="24" t="s">
        <v>752</v>
      </c>
      <c r="D107" s="24">
        <f>"0,5823"</f>
        <v>0</v>
      </c>
      <c r="E107" s="24" t="s">
        <v>15</v>
      </c>
      <c r="F107" s="24" t="s">
        <v>88</v>
      </c>
      <c r="G107" s="25" t="s">
        <v>233</v>
      </c>
      <c r="H107" s="24" t="s">
        <v>233</v>
      </c>
      <c r="I107" s="25"/>
      <c r="J107" s="26">
        <v>222.5</v>
      </c>
      <c r="K107" s="24">
        <f>"129,5618"</f>
        <v>0</v>
      </c>
      <c r="L107" s="24"/>
    </row>
    <row r="108" spans="1:12" ht="14.25">
      <c r="A108" s="24" t="s">
        <v>284</v>
      </c>
      <c r="B108" s="24" t="s">
        <v>285</v>
      </c>
      <c r="C108" s="24" t="s">
        <v>286</v>
      </c>
      <c r="D108" s="24">
        <f>"0,5828"</f>
        <v>0</v>
      </c>
      <c r="E108" s="24" t="s">
        <v>15</v>
      </c>
      <c r="F108" s="24" t="s">
        <v>620</v>
      </c>
      <c r="G108" s="25" t="s">
        <v>87</v>
      </c>
      <c r="H108" s="24" t="s">
        <v>87</v>
      </c>
      <c r="I108" s="25"/>
      <c r="J108" s="26">
        <v>200</v>
      </c>
      <c r="K108" s="24">
        <f>"116,5600"</f>
        <v>0</v>
      </c>
      <c r="L108" s="24"/>
    </row>
    <row r="109" spans="1:12" ht="14.25">
      <c r="A109" s="24" t="s">
        <v>753</v>
      </c>
      <c r="B109" s="24" t="s">
        <v>754</v>
      </c>
      <c r="C109" s="24" t="s">
        <v>755</v>
      </c>
      <c r="D109" s="24">
        <f>"0,5870"</f>
        <v>0</v>
      </c>
      <c r="E109" s="24" t="s">
        <v>67</v>
      </c>
      <c r="F109" s="24" t="s">
        <v>620</v>
      </c>
      <c r="G109" s="25" t="s">
        <v>87</v>
      </c>
      <c r="H109" s="25" t="s">
        <v>87</v>
      </c>
      <c r="I109" s="25"/>
      <c r="J109" s="26">
        <v>192.5</v>
      </c>
      <c r="K109" s="24">
        <f>"112,9879"</f>
        <v>0</v>
      </c>
      <c r="L109" s="24"/>
    </row>
    <row r="110" spans="1:12" ht="14.25">
      <c r="A110" s="24" t="s">
        <v>284</v>
      </c>
      <c r="B110" s="24" t="s">
        <v>290</v>
      </c>
      <c r="C110" s="24" t="s">
        <v>286</v>
      </c>
      <c r="D110" s="24">
        <f>"0,6009"</f>
        <v>0</v>
      </c>
      <c r="E110" s="24" t="s">
        <v>15</v>
      </c>
      <c r="F110" s="24" t="s">
        <v>620</v>
      </c>
      <c r="G110" s="25" t="s">
        <v>87</v>
      </c>
      <c r="H110" s="24" t="s">
        <v>87</v>
      </c>
      <c r="I110" s="25"/>
      <c r="J110" s="26">
        <v>200</v>
      </c>
      <c r="K110" s="24">
        <f>"120,1734"</f>
        <v>0</v>
      </c>
      <c r="L110" s="24"/>
    </row>
    <row r="111" spans="1:12" ht="14.25">
      <c r="A111" s="24" t="s">
        <v>756</v>
      </c>
      <c r="B111" s="24" t="s">
        <v>757</v>
      </c>
      <c r="C111" s="24" t="s">
        <v>758</v>
      </c>
      <c r="D111" s="24">
        <f>"0,5936"</f>
        <v>0</v>
      </c>
      <c r="E111" s="24" t="s">
        <v>15</v>
      </c>
      <c r="F111" s="24" t="s">
        <v>486</v>
      </c>
      <c r="G111" s="24" t="s">
        <v>92</v>
      </c>
      <c r="H111" s="24" t="s">
        <v>46</v>
      </c>
      <c r="I111" s="25"/>
      <c r="J111" s="26">
        <v>170</v>
      </c>
      <c r="K111" s="24">
        <f>"100,9167"</f>
        <v>0</v>
      </c>
      <c r="L111" s="24"/>
    </row>
    <row r="112" spans="1:12" ht="14.25">
      <c r="A112" s="24" t="s">
        <v>759</v>
      </c>
      <c r="B112" s="24" t="s">
        <v>760</v>
      </c>
      <c r="C112" s="24" t="s">
        <v>761</v>
      </c>
      <c r="D112" s="24">
        <f>"0,6670"</f>
        <v>0</v>
      </c>
      <c r="E112" s="24" t="s">
        <v>211</v>
      </c>
      <c r="F112" s="24" t="s">
        <v>46</v>
      </c>
      <c r="G112" s="24" t="s">
        <v>47</v>
      </c>
      <c r="H112" s="25" t="s">
        <v>224</v>
      </c>
      <c r="I112" s="25"/>
      <c r="J112" s="26">
        <v>180</v>
      </c>
      <c r="K112" s="24">
        <f>"120,0668"</f>
        <v>0</v>
      </c>
      <c r="L112" s="24"/>
    </row>
    <row r="113" spans="1:12" ht="14.25">
      <c r="A113" s="24" t="s">
        <v>762</v>
      </c>
      <c r="B113" s="24" t="s">
        <v>763</v>
      </c>
      <c r="C113" s="24" t="s">
        <v>764</v>
      </c>
      <c r="D113" s="24">
        <f>"0,6975"</f>
        <v>0</v>
      </c>
      <c r="E113" s="24" t="s">
        <v>536</v>
      </c>
      <c r="F113" s="25" t="s">
        <v>486</v>
      </c>
      <c r="G113" s="24" t="s">
        <v>486</v>
      </c>
      <c r="H113" s="25" t="s">
        <v>92</v>
      </c>
      <c r="I113" s="25"/>
      <c r="J113" s="26">
        <v>160</v>
      </c>
      <c r="K113" s="24">
        <f>"111,5991"</f>
        <v>0</v>
      </c>
      <c r="L113" s="24"/>
    </row>
    <row r="114" spans="1:12" ht="14.25">
      <c r="A114" s="24" t="s">
        <v>765</v>
      </c>
      <c r="B114" s="24" t="s">
        <v>766</v>
      </c>
      <c r="C114" s="24" t="s">
        <v>767</v>
      </c>
      <c r="D114" s="24">
        <f>"0,6837"</f>
        <v>0</v>
      </c>
      <c r="E114" s="24" t="s">
        <v>15</v>
      </c>
      <c r="F114" s="25" t="s">
        <v>35</v>
      </c>
      <c r="G114" s="25" t="s">
        <v>62</v>
      </c>
      <c r="H114" s="24" t="s">
        <v>120</v>
      </c>
      <c r="I114" s="25"/>
      <c r="J114" s="26">
        <v>145</v>
      </c>
      <c r="K114" s="24">
        <f>"99,1293"</f>
        <v>0</v>
      </c>
      <c r="L114" s="24"/>
    </row>
    <row r="115" spans="1:12" ht="14.25">
      <c r="A115" s="24" t="s">
        <v>768</v>
      </c>
      <c r="B115" s="24" t="s">
        <v>769</v>
      </c>
      <c r="C115" s="24" t="s">
        <v>770</v>
      </c>
      <c r="D115" s="24">
        <f>"0,7638"</f>
        <v>0</v>
      </c>
      <c r="E115" s="24" t="s">
        <v>15</v>
      </c>
      <c r="F115" s="24" t="s">
        <v>87</v>
      </c>
      <c r="G115" s="24" t="s">
        <v>88</v>
      </c>
      <c r="H115" s="25" t="s">
        <v>250</v>
      </c>
      <c r="I115" s="25"/>
      <c r="J115" s="26">
        <v>210</v>
      </c>
      <c r="K115" s="24">
        <f>"160,4022"</f>
        <v>0</v>
      </c>
      <c r="L115" s="24"/>
    </row>
    <row r="116" spans="1:12" ht="14.25">
      <c r="A116" s="24" t="s">
        <v>771</v>
      </c>
      <c r="B116" s="24" t="s">
        <v>772</v>
      </c>
      <c r="C116" s="24" t="s">
        <v>773</v>
      </c>
      <c r="D116" s="24">
        <f>"0,7620"</f>
        <v>0</v>
      </c>
      <c r="E116" s="24" t="s">
        <v>638</v>
      </c>
      <c r="F116" s="24" t="s">
        <v>62</v>
      </c>
      <c r="G116" s="24" t="s">
        <v>774</v>
      </c>
      <c r="H116" s="25" t="s">
        <v>120</v>
      </c>
      <c r="I116" s="25"/>
      <c r="J116" s="26">
        <v>142.5</v>
      </c>
      <c r="K116" s="24">
        <f>"108,5857"</f>
        <v>0</v>
      </c>
      <c r="L116" s="24"/>
    </row>
    <row r="117" spans="1:12" ht="14.25">
      <c r="A117" s="20" t="s">
        <v>775</v>
      </c>
      <c r="B117" s="20" t="s">
        <v>776</v>
      </c>
      <c r="C117" s="20" t="s">
        <v>777</v>
      </c>
      <c r="D117" s="20">
        <f>"0,7509"</f>
        <v>0</v>
      </c>
      <c r="E117" s="20" t="s">
        <v>15</v>
      </c>
      <c r="F117" s="20" t="s">
        <v>16</v>
      </c>
      <c r="G117" s="20" t="s">
        <v>218</v>
      </c>
      <c r="H117" s="21"/>
      <c r="I117" s="21"/>
      <c r="J117" s="22">
        <v>112.5</v>
      </c>
      <c r="K117" s="20">
        <f>"84,4765"</f>
        <v>0</v>
      </c>
      <c r="L117" s="20"/>
    </row>
    <row r="119" spans="1:11" ht="16.5">
      <c r="A119" s="23" t="s">
        <v>94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2" ht="14.25">
      <c r="A120" s="24" t="s">
        <v>778</v>
      </c>
      <c r="B120" s="24" t="s">
        <v>779</v>
      </c>
      <c r="C120" s="24" t="s">
        <v>780</v>
      </c>
      <c r="D120" s="24">
        <f>"0,5799"</f>
        <v>0</v>
      </c>
      <c r="E120" s="24" t="s">
        <v>228</v>
      </c>
      <c r="F120" s="24" t="s">
        <v>93</v>
      </c>
      <c r="G120" s="25" t="s">
        <v>47</v>
      </c>
      <c r="H120" s="25"/>
      <c r="I120" s="25"/>
      <c r="J120" s="26" t="s">
        <v>781</v>
      </c>
      <c r="K120" s="24" t="s">
        <v>782</v>
      </c>
      <c r="L120" s="24"/>
    </row>
    <row r="121" spans="1:12" ht="14.25">
      <c r="A121" s="16" t="s">
        <v>783</v>
      </c>
      <c r="B121" s="16" t="s">
        <v>784</v>
      </c>
      <c r="C121" s="16" t="s">
        <v>785</v>
      </c>
      <c r="D121" s="16">
        <f>"0,5767"</f>
        <v>0</v>
      </c>
      <c r="E121" s="16" t="s">
        <v>786</v>
      </c>
      <c r="F121" s="16" t="s">
        <v>486</v>
      </c>
      <c r="G121" s="16" t="s">
        <v>93</v>
      </c>
      <c r="H121" s="18" t="s">
        <v>47</v>
      </c>
      <c r="I121" s="18"/>
      <c r="J121" s="19">
        <v>175</v>
      </c>
      <c r="K121" s="16">
        <f>"100,9225"</f>
        <v>0</v>
      </c>
      <c r="L121" s="16"/>
    </row>
    <row r="122" spans="1:12" ht="14.25">
      <c r="A122" s="24" t="s">
        <v>95</v>
      </c>
      <c r="B122" s="24" t="s">
        <v>96</v>
      </c>
      <c r="C122" s="24" t="s">
        <v>97</v>
      </c>
      <c r="D122" s="24">
        <f>"0,5701"</f>
        <v>0</v>
      </c>
      <c r="E122" s="24" t="s">
        <v>15</v>
      </c>
      <c r="F122" s="24" t="s">
        <v>88</v>
      </c>
      <c r="G122" s="24" t="s">
        <v>83</v>
      </c>
      <c r="H122" s="24" t="s">
        <v>219</v>
      </c>
      <c r="I122" s="25"/>
      <c r="J122" s="26">
        <v>232.5</v>
      </c>
      <c r="K122" s="24">
        <f>"132,5483"</f>
        <v>0</v>
      </c>
      <c r="L122" s="24"/>
    </row>
    <row r="123" spans="1:12" ht="14.25">
      <c r="A123" s="24" t="s">
        <v>787</v>
      </c>
      <c r="B123" s="24" t="s">
        <v>788</v>
      </c>
      <c r="C123" s="24" t="s">
        <v>123</v>
      </c>
      <c r="D123" s="24">
        <f>"0,5645"</f>
        <v>0</v>
      </c>
      <c r="E123" s="24" t="s">
        <v>259</v>
      </c>
      <c r="F123" s="24" t="s">
        <v>88</v>
      </c>
      <c r="G123" s="24" t="s">
        <v>40</v>
      </c>
      <c r="H123" s="24" t="s">
        <v>83</v>
      </c>
      <c r="I123" s="25"/>
      <c r="J123" s="26">
        <v>225</v>
      </c>
      <c r="K123" s="24">
        <f>"127,0237"</f>
        <v>0</v>
      </c>
      <c r="L123" s="24"/>
    </row>
    <row r="124" spans="1:12" ht="14.25">
      <c r="A124" s="24" t="s">
        <v>789</v>
      </c>
      <c r="B124" s="24" t="s">
        <v>790</v>
      </c>
      <c r="C124" s="24" t="s">
        <v>791</v>
      </c>
      <c r="D124" s="24">
        <f>"0,5734"</f>
        <v>0</v>
      </c>
      <c r="E124" s="24" t="s">
        <v>15</v>
      </c>
      <c r="F124" s="24" t="s">
        <v>87</v>
      </c>
      <c r="G124" s="24" t="s">
        <v>792</v>
      </c>
      <c r="H124" s="24" t="s">
        <v>250</v>
      </c>
      <c r="I124" s="25"/>
      <c r="J124" s="26">
        <v>212.5</v>
      </c>
      <c r="K124" s="24">
        <f>"121,8369"</f>
        <v>0</v>
      </c>
      <c r="L124" s="24"/>
    </row>
    <row r="125" spans="1:12" ht="14.25">
      <c r="A125" s="24" t="s">
        <v>793</v>
      </c>
      <c r="B125" s="24" t="s">
        <v>794</v>
      </c>
      <c r="C125" s="24" t="s">
        <v>795</v>
      </c>
      <c r="D125" s="24">
        <f>"0,5678"</f>
        <v>0</v>
      </c>
      <c r="E125" s="24" t="s">
        <v>15</v>
      </c>
      <c r="F125" s="24" t="s">
        <v>73</v>
      </c>
      <c r="G125" s="24" t="s">
        <v>250</v>
      </c>
      <c r="H125" s="25" t="s">
        <v>233</v>
      </c>
      <c r="I125" s="25"/>
      <c r="J125" s="26">
        <v>212.5</v>
      </c>
      <c r="K125" s="24">
        <f>"120,6575"</f>
        <v>0</v>
      </c>
      <c r="L125" s="24"/>
    </row>
    <row r="126" spans="1:12" ht="14.25">
      <c r="A126" s="24" t="s">
        <v>796</v>
      </c>
      <c r="B126" s="24" t="s">
        <v>797</v>
      </c>
      <c r="C126" s="24" t="s">
        <v>119</v>
      </c>
      <c r="D126" s="24">
        <f>"0,5655"</f>
        <v>0</v>
      </c>
      <c r="E126" s="24" t="s">
        <v>67</v>
      </c>
      <c r="F126" s="24" t="s">
        <v>798</v>
      </c>
      <c r="G126" s="25" t="s">
        <v>88</v>
      </c>
      <c r="H126" s="24" t="s">
        <v>88</v>
      </c>
      <c r="I126" s="25"/>
      <c r="J126" s="26">
        <v>210</v>
      </c>
      <c r="K126" s="24">
        <f>"118,7550"</f>
        <v>0</v>
      </c>
      <c r="L126" s="24"/>
    </row>
    <row r="127" spans="1:12" ht="14.25">
      <c r="A127" s="24" t="s">
        <v>799</v>
      </c>
      <c r="B127" s="24" t="s">
        <v>800</v>
      </c>
      <c r="C127" s="24" t="s">
        <v>126</v>
      </c>
      <c r="D127" s="24">
        <f>"0,5681"</f>
        <v>0</v>
      </c>
      <c r="E127" s="24" t="s">
        <v>15</v>
      </c>
      <c r="F127" s="25" t="s">
        <v>131</v>
      </c>
      <c r="G127" s="24" t="s">
        <v>131</v>
      </c>
      <c r="H127" s="24" t="s">
        <v>87</v>
      </c>
      <c r="I127" s="25"/>
      <c r="J127" s="26">
        <v>200</v>
      </c>
      <c r="K127" s="24">
        <f>"113,6200"</f>
        <v>0</v>
      </c>
      <c r="L127" s="24"/>
    </row>
    <row r="128" spans="1:12" ht="14.25">
      <c r="A128" s="24" t="s">
        <v>801</v>
      </c>
      <c r="B128" s="24" t="s">
        <v>802</v>
      </c>
      <c r="C128" s="24" t="s">
        <v>308</v>
      </c>
      <c r="D128" s="24">
        <f>"0,5788"</f>
        <v>0</v>
      </c>
      <c r="E128" s="24" t="s">
        <v>15</v>
      </c>
      <c r="F128" s="24" t="s">
        <v>78</v>
      </c>
      <c r="G128" s="24" t="s">
        <v>316</v>
      </c>
      <c r="H128" s="24" t="s">
        <v>41</v>
      </c>
      <c r="I128" s="25"/>
      <c r="J128" s="26">
        <v>240</v>
      </c>
      <c r="K128" s="24">
        <f>"138,9118"</f>
        <v>0</v>
      </c>
      <c r="L128" s="24"/>
    </row>
    <row r="129" spans="1:12" ht="14.25">
      <c r="A129" s="24" t="s">
        <v>803</v>
      </c>
      <c r="B129" s="24" t="s">
        <v>804</v>
      </c>
      <c r="C129" s="24" t="s">
        <v>805</v>
      </c>
      <c r="D129" s="24">
        <f>"0,5868"</f>
        <v>0</v>
      </c>
      <c r="E129" s="24" t="s">
        <v>15</v>
      </c>
      <c r="F129" s="24" t="s">
        <v>87</v>
      </c>
      <c r="G129" s="24" t="s">
        <v>88</v>
      </c>
      <c r="H129" s="24" t="s">
        <v>74</v>
      </c>
      <c r="I129" s="25"/>
      <c r="J129" s="26">
        <v>215</v>
      </c>
      <c r="K129" s="24">
        <f>"126,1717"</f>
        <v>0</v>
      </c>
      <c r="L129" s="24"/>
    </row>
    <row r="130" spans="1:12" ht="14.25">
      <c r="A130" s="24" t="s">
        <v>806</v>
      </c>
      <c r="B130" s="24" t="s">
        <v>807</v>
      </c>
      <c r="C130" s="24" t="s">
        <v>808</v>
      </c>
      <c r="D130" s="24">
        <f>"0,5780"</f>
        <v>0</v>
      </c>
      <c r="E130" s="24" t="s">
        <v>15</v>
      </c>
      <c r="F130" s="24" t="s">
        <v>131</v>
      </c>
      <c r="G130" s="25" t="s">
        <v>87</v>
      </c>
      <c r="H130" s="24" t="s">
        <v>798</v>
      </c>
      <c r="I130" s="25"/>
      <c r="J130" s="26">
        <v>202.5</v>
      </c>
      <c r="K130" s="24">
        <f>"117,0415"</f>
        <v>0</v>
      </c>
      <c r="L130" s="24"/>
    </row>
    <row r="131" spans="1:12" ht="14.25">
      <c r="A131" s="24" t="s">
        <v>799</v>
      </c>
      <c r="B131" s="24" t="s">
        <v>809</v>
      </c>
      <c r="C131" s="24" t="s">
        <v>126</v>
      </c>
      <c r="D131" s="24">
        <f>"0,5795"</f>
        <v>0</v>
      </c>
      <c r="E131" s="24" t="s">
        <v>15</v>
      </c>
      <c r="F131" s="25" t="s">
        <v>131</v>
      </c>
      <c r="G131" s="24" t="s">
        <v>131</v>
      </c>
      <c r="H131" s="24" t="s">
        <v>87</v>
      </c>
      <c r="I131" s="25"/>
      <c r="J131" s="26">
        <v>200</v>
      </c>
      <c r="K131" s="24">
        <f>"115,8924"</f>
        <v>0</v>
      </c>
      <c r="L131" s="24"/>
    </row>
    <row r="132" spans="1:12" ht="14.25">
      <c r="A132" s="24" t="s">
        <v>810</v>
      </c>
      <c r="B132" s="24" t="s">
        <v>811</v>
      </c>
      <c r="C132" s="24" t="s">
        <v>305</v>
      </c>
      <c r="D132" s="24">
        <f>"0,5877"</f>
        <v>0</v>
      </c>
      <c r="E132" s="24" t="s">
        <v>228</v>
      </c>
      <c r="F132" s="24" t="s">
        <v>93</v>
      </c>
      <c r="G132" s="25" t="s">
        <v>812</v>
      </c>
      <c r="H132" s="24" t="s">
        <v>212</v>
      </c>
      <c r="I132" s="25"/>
      <c r="J132" s="26">
        <v>195</v>
      </c>
      <c r="K132" s="24">
        <f>"114,6074"</f>
        <v>0</v>
      </c>
      <c r="L132" s="24"/>
    </row>
    <row r="133" spans="1:12" ht="14.25">
      <c r="A133" s="24" t="s">
        <v>95</v>
      </c>
      <c r="B133" s="24" t="s">
        <v>111</v>
      </c>
      <c r="C133" s="24" t="s">
        <v>97</v>
      </c>
      <c r="D133" s="24">
        <f>"0,6015"</f>
        <v>0</v>
      </c>
      <c r="E133" s="24" t="s">
        <v>15</v>
      </c>
      <c r="F133" s="24" t="s">
        <v>88</v>
      </c>
      <c r="G133" s="24" t="s">
        <v>83</v>
      </c>
      <c r="H133" s="24" t="s">
        <v>219</v>
      </c>
      <c r="I133" s="25"/>
      <c r="J133" s="26">
        <v>232.5</v>
      </c>
      <c r="K133" s="24">
        <f>"139,8384"</f>
        <v>0</v>
      </c>
      <c r="L133" s="24"/>
    </row>
    <row r="134" spans="1:12" ht="14.25">
      <c r="A134" s="24" t="s">
        <v>813</v>
      </c>
      <c r="B134" s="24" t="s">
        <v>814</v>
      </c>
      <c r="C134" s="24" t="s">
        <v>815</v>
      </c>
      <c r="D134" s="24">
        <f>"0,6223"</f>
        <v>0</v>
      </c>
      <c r="E134" s="24" t="s">
        <v>327</v>
      </c>
      <c r="F134" s="24" t="s">
        <v>74</v>
      </c>
      <c r="G134" s="24" t="s">
        <v>233</v>
      </c>
      <c r="H134" s="24" t="s">
        <v>294</v>
      </c>
      <c r="I134" s="25"/>
      <c r="J134" s="26">
        <v>227.5</v>
      </c>
      <c r="K134" s="24">
        <f>"141,5796"</f>
        <v>0</v>
      </c>
      <c r="L134" s="24"/>
    </row>
    <row r="135" spans="1:12" ht="14.25">
      <c r="A135" s="24" t="s">
        <v>452</v>
      </c>
      <c r="B135" s="24" t="s">
        <v>453</v>
      </c>
      <c r="C135" s="24" t="s">
        <v>440</v>
      </c>
      <c r="D135" s="24">
        <f>"0,6008"</f>
        <v>0</v>
      </c>
      <c r="E135" s="24" t="s">
        <v>223</v>
      </c>
      <c r="F135" s="24" t="s">
        <v>46</v>
      </c>
      <c r="G135" s="24" t="s">
        <v>240</v>
      </c>
      <c r="H135" s="25" t="s">
        <v>87</v>
      </c>
      <c r="I135" s="25"/>
      <c r="J135" s="26">
        <v>185</v>
      </c>
      <c r="K135" s="24">
        <f>"111,1388"</f>
        <v>0</v>
      </c>
      <c r="L135" s="24"/>
    </row>
    <row r="136" spans="1:12" ht="14.25">
      <c r="A136" s="24" t="s">
        <v>112</v>
      </c>
      <c r="B136" s="24" t="s">
        <v>113</v>
      </c>
      <c r="C136" s="24" t="s">
        <v>114</v>
      </c>
      <c r="D136" s="24">
        <f>"0,5951"</f>
        <v>0</v>
      </c>
      <c r="E136" s="24" t="s">
        <v>15</v>
      </c>
      <c r="F136" s="24" t="s">
        <v>246</v>
      </c>
      <c r="G136" s="24" t="s">
        <v>92</v>
      </c>
      <c r="H136" s="25" t="s">
        <v>46</v>
      </c>
      <c r="I136" s="25"/>
      <c r="J136" s="26">
        <v>165</v>
      </c>
      <c r="K136" s="24">
        <f>"98,1870"</f>
        <v>0</v>
      </c>
      <c r="L136" s="24"/>
    </row>
    <row r="137" spans="1:12" ht="14.25">
      <c r="A137" s="24" t="s">
        <v>816</v>
      </c>
      <c r="B137" s="24" t="s">
        <v>817</v>
      </c>
      <c r="C137" s="24" t="s">
        <v>818</v>
      </c>
      <c r="D137" s="24">
        <f>"0,6121"</f>
        <v>0</v>
      </c>
      <c r="E137" s="24" t="s">
        <v>15</v>
      </c>
      <c r="F137" s="25" t="s">
        <v>87</v>
      </c>
      <c r="G137" s="25" t="s">
        <v>87</v>
      </c>
      <c r="H137" s="25"/>
      <c r="I137" s="25"/>
      <c r="J137" s="26">
        <v>0</v>
      </c>
      <c r="K137" s="24">
        <f>"0,0000"</f>
        <v>0</v>
      </c>
      <c r="L137" s="24"/>
    </row>
    <row r="138" spans="1:12" ht="14.25">
      <c r="A138" s="24" t="s">
        <v>819</v>
      </c>
      <c r="B138" s="24" t="s">
        <v>820</v>
      </c>
      <c r="C138" s="24" t="s">
        <v>821</v>
      </c>
      <c r="D138" s="24">
        <f>"0,6791"</f>
        <v>0</v>
      </c>
      <c r="E138" s="24" t="s">
        <v>15</v>
      </c>
      <c r="F138" s="24" t="s">
        <v>822</v>
      </c>
      <c r="G138" s="24" t="s">
        <v>233</v>
      </c>
      <c r="H138" s="24" t="s">
        <v>294</v>
      </c>
      <c r="I138" s="25"/>
      <c r="J138" s="26">
        <v>227.5</v>
      </c>
      <c r="K138" s="24">
        <f>"154,4914"</f>
        <v>0</v>
      </c>
      <c r="L138" s="24"/>
    </row>
    <row r="139" spans="1:12" ht="14.25">
      <c r="A139" s="24" t="s">
        <v>121</v>
      </c>
      <c r="B139" s="24" t="s">
        <v>122</v>
      </c>
      <c r="C139" s="24" t="s">
        <v>123</v>
      </c>
      <c r="D139" s="24">
        <f>"0,6916"</f>
        <v>0</v>
      </c>
      <c r="E139" s="24" t="s">
        <v>15</v>
      </c>
      <c r="F139" s="24" t="s">
        <v>120</v>
      </c>
      <c r="G139" s="24" t="s">
        <v>246</v>
      </c>
      <c r="H139" s="25" t="s">
        <v>312</v>
      </c>
      <c r="I139" s="25"/>
      <c r="J139" s="26">
        <v>155</v>
      </c>
      <c r="K139" s="24">
        <f>"107,1939"</f>
        <v>0</v>
      </c>
      <c r="L139" s="24"/>
    </row>
    <row r="140" spans="1:12" ht="14.25">
      <c r="A140" s="24" t="s">
        <v>823</v>
      </c>
      <c r="B140" s="24" t="s">
        <v>824</v>
      </c>
      <c r="C140" s="24" t="s">
        <v>302</v>
      </c>
      <c r="D140" s="24">
        <f>"0,7725"</f>
        <v>0</v>
      </c>
      <c r="E140" s="24" t="s">
        <v>15</v>
      </c>
      <c r="F140" s="24" t="s">
        <v>246</v>
      </c>
      <c r="G140" s="24" t="s">
        <v>486</v>
      </c>
      <c r="H140" s="25" t="s">
        <v>92</v>
      </c>
      <c r="I140" s="25"/>
      <c r="J140" s="26">
        <v>160</v>
      </c>
      <c r="K140" s="24">
        <f>"123,6016"</f>
        <v>0</v>
      </c>
      <c r="L140" s="24"/>
    </row>
    <row r="141" spans="1:12" ht="14.25">
      <c r="A141" s="24" t="s">
        <v>313</v>
      </c>
      <c r="B141" s="24" t="s">
        <v>314</v>
      </c>
      <c r="C141" s="24" t="s">
        <v>315</v>
      </c>
      <c r="D141" s="24">
        <f>"0,7702"</f>
        <v>0</v>
      </c>
      <c r="E141" s="24" t="s">
        <v>15</v>
      </c>
      <c r="F141" s="24" t="s">
        <v>87</v>
      </c>
      <c r="G141" s="25" t="s">
        <v>792</v>
      </c>
      <c r="H141" s="25" t="s">
        <v>792</v>
      </c>
      <c r="I141" s="25"/>
      <c r="J141" s="26" t="s">
        <v>725</v>
      </c>
      <c r="K141" s="24" t="s">
        <v>825</v>
      </c>
      <c r="L141" s="24"/>
    </row>
    <row r="142" spans="1:12" ht="14.25">
      <c r="A142" s="24" t="s">
        <v>124</v>
      </c>
      <c r="B142" s="24" t="s">
        <v>125</v>
      </c>
      <c r="C142" s="24" t="s">
        <v>126</v>
      </c>
      <c r="D142" s="24">
        <f>"0,8408"</f>
        <v>0</v>
      </c>
      <c r="E142" s="24" t="s">
        <v>15</v>
      </c>
      <c r="F142" s="24" t="s">
        <v>486</v>
      </c>
      <c r="G142" s="24" t="s">
        <v>46</v>
      </c>
      <c r="H142" s="25" t="s">
        <v>93</v>
      </c>
      <c r="I142" s="25"/>
      <c r="J142" s="26">
        <v>170</v>
      </c>
      <c r="K142" s="24">
        <f>"142,9340"</f>
        <v>0</v>
      </c>
      <c r="L142" s="24"/>
    </row>
    <row r="143" spans="1:12" ht="14.25">
      <c r="A143" s="20" t="s">
        <v>325</v>
      </c>
      <c r="B143" s="20" t="s">
        <v>326</v>
      </c>
      <c r="C143" s="20" t="s">
        <v>302</v>
      </c>
      <c r="D143" s="20">
        <f>"1,0579"</f>
        <v>0</v>
      </c>
      <c r="E143" s="20" t="s">
        <v>327</v>
      </c>
      <c r="F143" s="20" t="s">
        <v>328</v>
      </c>
      <c r="G143" s="21"/>
      <c r="H143" s="21"/>
      <c r="I143" s="21"/>
      <c r="J143" s="22" t="s">
        <v>456</v>
      </c>
      <c r="K143" s="20" t="s">
        <v>457</v>
      </c>
      <c r="L143" s="20"/>
    </row>
    <row r="145" spans="1:11" ht="16.5">
      <c r="A145" s="23" t="s">
        <v>127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2" ht="14.25">
      <c r="A146" s="16" t="s">
        <v>128</v>
      </c>
      <c r="B146" s="16" t="s">
        <v>129</v>
      </c>
      <c r="C146" s="16" t="s">
        <v>130</v>
      </c>
      <c r="D146" s="16">
        <f>"0,5566"</f>
        <v>0</v>
      </c>
      <c r="E146" s="16" t="s">
        <v>15</v>
      </c>
      <c r="F146" s="16" t="s">
        <v>54</v>
      </c>
      <c r="G146" s="18"/>
      <c r="H146" s="18"/>
      <c r="I146" s="18"/>
      <c r="J146" s="19">
        <v>150</v>
      </c>
      <c r="K146" s="16">
        <f>"83,4975"</f>
        <v>0</v>
      </c>
      <c r="L146" s="16"/>
    </row>
    <row r="147" spans="1:12" ht="14.25">
      <c r="A147" s="24" t="s">
        <v>826</v>
      </c>
      <c r="B147" s="24" t="s">
        <v>827</v>
      </c>
      <c r="C147" s="24" t="s">
        <v>828</v>
      </c>
      <c r="D147" s="24">
        <f>"0,5508"</f>
        <v>0</v>
      </c>
      <c r="E147" s="24" t="s">
        <v>15</v>
      </c>
      <c r="F147" s="24" t="s">
        <v>88</v>
      </c>
      <c r="G147" s="24" t="s">
        <v>74</v>
      </c>
      <c r="H147" s="24" t="s">
        <v>233</v>
      </c>
      <c r="I147" s="25"/>
      <c r="J147" s="26">
        <v>222.5</v>
      </c>
      <c r="K147" s="24">
        <f>"122,5641"</f>
        <v>0</v>
      </c>
      <c r="L147" s="24"/>
    </row>
    <row r="148" spans="1:12" ht="14.25">
      <c r="A148" s="24" t="s">
        <v>829</v>
      </c>
      <c r="B148" s="24" t="s">
        <v>830</v>
      </c>
      <c r="C148" s="24" t="s">
        <v>348</v>
      </c>
      <c r="D148" s="24">
        <f>"0,5566"</f>
        <v>0</v>
      </c>
      <c r="E148" s="24" t="s">
        <v>15</v>
      </c>
      <c r="F148" s="24" t="s">
        <v>88</v>
      </c>
      <c r="G148" s="24" t="s">
        <v>831</v>
      </c>
      <c r="H148" s="25" t="s">
        <v>233</v>
      </c>
      <c r="I148" s="25"/>
      <c r="J148" s="26">
        <v>217.5</v>
      </c>
      <c r="K148" s="24">
        <f>"121,0496"</f>
        <v>0</v>
      </c>
      <c r="L148" s="24"/>
    </row>
    <row r="149" spans="1:12" ht="14.25">
      <c r="A149" s="24" t="s">
        <v>832</v>
      </c>
      <c r="B149" s="24" t="s">
        <v>833</v>
      </c>
      <c r="C149" s="24" t="s">
        <v>834</v>
      </c>
      <c r="D149" s="24">
        <f>"0,5645"</f>
        <v>0</v>
      </c>
      <c r="E149" s="24" t="s">
        <v>15</v>
      </c>
      <c r="F149" s="24" t="s">
        <v>798</v>
      </c>
      <c r="G149" s="24" t="s">
        <v>792</v>
      </c>
      <c r="H149" s="25"/>
      <c r="I149" s="25"/>
      <c r="J149" s="26">
        <v>207.5</v>
      </c>
      <c r="K149" s="24">
        <f>"117,1271"</f>
        <v>0</v>
      </c>
      <c r="L149" s="24"/>
    </row>
    <row r="150" spans="1:12" ht="14.25">
      <c r="A150" s="24" t="s">
        <v>835</v>
      </c>
      <c r="B150" s="24" t="s">
        <v>836</v>
      </c>
      <c r="C150" s="24" t="s">
        <v>837</v>
      </c>
      <c r="D150" s="24">
        <f>"0,5617"</f>
        <v>0</v>
      </c>
      <c r="E150" s="24" t="s">
        <v>15</v>
      </c>
      <c r="F150" s="24" t="s">
        <v>131</v>
      </c>
      <c r="G150" s="24" t="s">
        <v>87</v>
      </c>
      <c r="H150" s="24" t="s">
        <v>798</v>
      </c>
      <c r="I150" s="25"/>
      <c r="J150" s="26">
        <v>202.5</v>
      </c>
      <c r="K150" s="24">
        <f>"113,7368"</f>
        <v>0</v>
      </c>
      <c r="L150" s="24"/>
    </row>
    <row r="151" spans="1:12" ht="14.25">
      <c r="A151" s="24" t="s">
        <v>838</v>
      </c>
      <c r="B151" s="24" t="s">
        <v>839</v>
      </c>
      <c r="C151" s="24" t="s">
        <v>840</v>
      </c>
      <c r="D151" s="24">
        <f>"0,5653"</f>
        <v>0</v>
      </c>
      <c r="E151" s="24" t="s">
        <v>232</v>
      </c>
      <c r="F151" s="24" t="s">
        <v>47</v>
      </c>
      <c r="G151" s="24" t="s">
        <v>87</v>
      </c>
      <c r="H151" s="25" t="s">
        <v>792</v>
      </c>
      <c r="I151" s="25"/>
      <c r="J151" s="26">
        <v>200</v>
      </c>
      <c r="K151" s="24">
        <f>"113,0695"</f>
        <v>0</v>
      </c>
      <c r="L151" s="24"/>
    </row>
    <row r="152" spans="1:12" ht="14.25">
      <c r="A152" s="24" t="s">
        <v>841</v>
      </c>
      <c r="B152" s="24" t="s">
        <v>842</v>
      </c>
      <c r="C152" s="24" t="s">
        <v>843</v>
      </c>
      <c r="D152" s="24">
        <f>"0,5529"</f>
        <v>0</v>
      </c>
      <c r="E152" s="24" t="s">
        <v>15</v>
      </c>
      <c r="F152" s="24" t="s">
        <v>212</v>
      </c>
      <c r="G152" s="25" t="s">
        <v>798</v>
      </c>
      <c r="H152" s="25" t="s">
        <v>798</v>
      </c>
      <c r="I152" s="25"/>
      <c r="J152" s="26" t="s">
        <v>844</v>
      </c>
      <c r="K152" s="24" t="s">
        <v>845</v>
      </c>
      <c r="L152" s="24"/>
    </row>
    <row r="153" spans="1:12" ht="14.25">
      <c r="A153" s="24" t="s">
        <v>846</v>
      </c>
      <c r="B153" s="24" t="s">
        <v>847</v>
      </c>
      <c r="C153" s="24" t="s">
        <v>848</v>
      </c>
      <c r="D153" s="24">
        <f>"0,6042"</f>
        <v>0</v>
      </c>
      <c r="E153" s="24" t="s">
        <v>15</v>
      </c>
      <c r="F153" s="24" t="s">
        <v>131</v>
      </c>
      <c r="G153" s="24" t="s">
        <v>87</v>
      </c>
      <c r="H153" s="24" t="s">
        <v>88</v>
      </c>
      <c r="I153" s="25"/>
      <c r="J153" s="26">
        <v>210</v>
      </c>
      <c r="K153" s="24">
        <f>"126,8763"</f>
        <v>0</v>
      </c>
      <c r="L153" s="24"/>
    </row>
    <row r="154" spans="1:12" ht="14.25">
      <c r="A154" s="24" t="s">
        <v>849</v>
      </c>
      <c r="B154" s="24" t="s">
        <v>850</v>
      </c>
      <c r="C154" s="24" t="s">
        <v>851</v>
      </c>
      <c r="D154" s="24">
        <f>"0,5827"</f>
        <v>0</v>
      </c>
      <c r="E154" s="24" t="s">
        <v>15</v>
      </c>
      <c r="F154" s="24" t="s">
        <v>131</v>
      </c>
      <c r="G154" s="24" t="s">
        <v>87</v>
      </c>
      <c r="H154" s="24" t="s">
        <v>792</v>
      </c>
      <c r="I154" s="25"/>
      <c r="J154" s="26">
        <v>207.5</v>
      </c>
      <c r="K154" s="24">
        <f>"120,9054"</f>
        <v>0</v>
      </c>
      <c r="L154" s="24"/>
    </row>
    <row r="155" spans="1:12" ht="14.25">
      <c r="A155" s="24" t="s">
        <v>346</v>
      </c>
      <c r="B155" s="24" t="s">
        <v>347</v>
      </c>
      <c r="C155" s="24" t="s">
        <v>348</v>
      </c>
      <c r="D155" s="24">
        <f>"0,6022"</f>
        <v>0</v>
      </c>
      <c r="E155" s="24" t="s">
        <v>15</v>
      </c>
      <c r="F155" s="24" t="s">
        <v>131</v>
      </c>
      <c r="G155" s="24" t="s">
        <v>798</v>
      </c>
      <c r="H155" s="25" t="s">
        <v>88</v>
      </c>
      <c r="I155" s="25"/>
      <c r="J155" s="26">
        <v>202.5</v>
      </c>
      <c r="K155" s="24">
        <f>"121,9429"</f>
        <v>0</v>
      </c>
      <c r="L155" s="24"/>
    </row>
    <row r="156" spans="1:12" ht="14.25">
      <c r="A156" s="24" t="s">
        <v>852</v>
      </c>
      <c r="B156" s="24" t="s">
        <v>853</v>
      </c>
      <c r="C156" s="24" t="s">
        <v>854</v>
      </c>
      <c r="D156" s="24">
        <f>"0,5826"</f>
        <v>0</v>
      </c>
      <c r="E156" s="24" t="s">
        <v>15</v>
      </c>
      <c r="F156" s="24" t="s">
        <v>486</v>
      </c>
      <c r="G156" s="24" t="s">
        <v>46</v>
      </c>
      <c r="H156" s="24" t="s">
        <v>653</v>
      </c>
      <c r="I156" s="25"/>
      <c r="J156" s="26">
        <v>177.5</v>
      </c>
      <c r="K156" s="24">
        <f>"103,4104"</f>
        <v>0</v>
      </c>
      <c r="L156" s="24"/>
    </row>
    <row r="157" spans="1:12" ht="14.25">
      <c r="A157" s="24" t="s">
        <v>855</v>
      </c>
      <c r="B157" s="24" t="s">
        <v>856</v>
      </c>
      <c r="C157" s="24" t="s">
        <v>857</v>
      </c>
      <c r="D157" s="24">
        <f>"0,5930"</f>
        <v>0</v>
      </c>
      <c r="E157" s="24" t="s">
        <v>536</v>
      </c>
      <c r="F157" s="24" t="s">
        <v>486</v>
      </c>
      <c r="G157" s="24" t="s">
        <v>46</v>
      </c>
      <c r="H157" s="25" t="s">
        <v>47</v>
      </c>
      <c r="I157" s="25"/>
      <c r="J157" s="26">
        <v>170</v>
      </c>
      <c r="K157" s="24">
        <f>"100,8037"</f>
        <v>0</v>
      </c>
      <c r="L157" s="24"/>
    </row>
    <row r="158" spans="1:12" ht="14.25">
      <c r="A158" s="24" t="s">
        <v>858</v>
      </c>
      <c r="B158" s="24" t="s">
        <v>859</v>
      </c>
      <c r="C158" s="24" t="s">
        <v>860</v>
      </c>
      <c r="D158" s="24">
        <f>"0,6139"</f>
        <v>0</v>
      </c>
      <c r="E158" s="24" t="s">
        <v>15</v>
      </c>
      <c r="F158" s="24" t="s">
        <v>486</v>
      </c>
      <c r="G158" s="24" t="s">
        <v>46</v>
      </c>
      <c r="H158" s="25" t="s">
        <v>93</v>
      </c>
      <c r="I158" s="25"/>
      <c r="J158" s="26">
        <v>170</v>
      </c>
      <c r="K158" s="24">
        <f>"104,3691"</f>
        <v>0</v>
      </c>
      <c r="L158" s="24"/>
    </row>
    <row r="159" spans="1:12" ht="14.25">
      <c r="A159" s="24" t="s">
        <v>861</v>
      </c>
      <c r="B159" s="24" t="s">
        <v>862</v>
      </c>
      <c r="C159" s="24" t="s">
        <v>863</v>
      </c>
      <c r="D159" s="24">
        <f>"0,6672"</f>
        <v>0</v>
      </c>
      <c r="E159" s="24" t="s">
        <v>15</v>
      </c>
      <c r="F159" s="24" t="s">
        <v>62</v>
      </c>
      <c r="G159" s="24" t="s">
        <v>36</v>
      </c>
      <c r="H159" s="24" t="s">
        <v>774</v>
      </c>
      <c r="I159" s="25"/>
      <c r="J159" s="26">
        <v>142.5</v>
      </c>
      <c r="K159" s="24">
        <f>"95,0755"</f>
        <v>0</v>
      </c>
      <c r="L159" s="24"/>
    </row>
    <row r="160" spans="1:12" ht="14.25">
      <c r="A160" s="20" t="s">
        <v>864</v>
      </c>
      <c r="B160" s="20" t="s">
        <v>865</v>
      </c>
      <c r="C160" s="20" t="s">
        <v>866</v>
      </c>
      <c r="D160" s="20">
        <f>"0,6796"</f>
        <v>0</v>
      </c>
      <c r="E160" s="20" t="s">
        <v>15</v>
      </c>
      <c r="F160" s="20" t="s">
        <v>87</v>
      </c>
      <c r="G160" s="21" t="s">
        <v>88</v>
      </c>
      <c r="H160" s="21" t="s">
        <v>88</v>
      </c>
      <c r="I160" s="21"/>
      <c r="J160" s="22" t="s">
        <v>725</v>
      </c>
      <c r="K160" s="20" t="s">
        <v>867</v>
      </c>
      <c r="L160" s="20"/>
    </row>
    <row r="162" spans="1:11" ht="16.5">
      <c r="A162" s="23" t="s">
        <v>135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2" ht="14.25">
      <c r="A163" s="16" t="s">
        <v>868</v>
      </c>
      <c r="B163" s="16" t="s">
        <v>869</v>
      </c>
      <c r="C163" s="16" t="s">
        <v>870</v>
      </c>
      <c r="D163" s="16">
        <f>"0,5378"</f>
        <v>0</v>
      </c>
      <c r="E163" s="16" t="s">
        <v>462</v>
      </c>
      <c r="F163" s="16" t="s">
        <v>74</v>
      </c>
      <c r="G163" s="16" t="s">
        <v>83</v>
      </c>
      <c r="H163" s="18" t="s">
        <v>78</v>
      </c>
      <c r="I163" s="18"/>
      <c r="J163" s="19">
        <v>225</v>
      </c>
      <c r="K163" s="16">
        <f>"120,9960"</f>
        <v>0</v>
      </c>
      <c r="L163" s="16"/>
    </row>
    <row r="164" spans="1:12" ht="14.25">
      <c r="A164" s="24" t="s">
        <v>871</v>
      </c>
      <c r="B164" s="24" t="s">
        <v>872</v>
      </c>
      <c r="C164" s="24" t="s">
        <v>873</v>
      </c>
      <c r="D164" s="24">
        <f>"0,5331"</f>
        <v>0</v>
      </c>
      <c r="E164" s="24" t="s">
        <v>232</v>
      </c>
      <c r="F164" s="24" t="s">
        <v>47</v>
      </c>
      <c r="G164" s="24" t="s">
        <v>131</v>
      </c>
      <c r="H164" s="24" t="s">
        <v>798</v>
      </c>
      <c r="I164" s="25"/>
      <c r="J164" s="26">
        <v>202.5</v>
      </c>
      <c r="K164" s="24">
        <f>"107,9487"</f>
        <v>0</v>
      </c>
      <c r="L164" s="24"/>
    </row>
    <row r="165" spans="1:12" ht="14.25">
      <c r="A165" s="24" t="s">
        <v>874</v>
      </c>
      <c r="B165" s="24" t="s">
        <v>875</v>
      </c>
      <c r="C165" s="24" t="s">
        <v>876</v>
      </c>
      <c r="D165" s="24">
        <f>"0,5406"</f>
        <v>0</v>
      </c>
      <c r="E165" s="24" t="s">
        <v>15</v>
      </c>
      <c r="F165" s="24" t="s">
        <v>46</v>
      </c>
      <c r="G165" s="24" t="s">
        <v>93</v>
      </c>
      <c r="H165" s="25" t="s">
        <v>812</v>
      </c>
      <c r="I165" s="25"/>
      <c r="J165" s="26">
        <v>175</v>
      </c>
      <c r="K165" s="24">
        <f>"94,6050"</f>
        <v>0</v>
      </c>
      <c r="L165" s="24"/>
    </row>
    <row r="166" spans="1:12" ht="14.25">
      <c r="A166" s="24" t="s">
        <v>877</v>
      </c>
      <c r="B166" s="24" t="s">
        <v>878</v>
      </c>
      <c r="C166" s="24" t="s">
        <v>879</v>
      </c>
      <c r="D166" s="24">
        <f>"0,5373"</f>
        <v>0</v>
      </c>
      <c r="E166" s="24" t="s">
        <v>15</v>
      </c>
      <c r="F166" s="24" t="s">
        <v>40</v>
      </c>
      <c r="G166" s="25" t="s">
        <v>294</v>
      </c>
      <c r="H166" s="25" t="s">
        <v>294</v>
      </c>
      <c r="I166" s="25"/>
      <c r="J166" s="26" t="s">
        <v>880</v>
      </c>
      <c r="K166" s="24" t="s">
        <v>881</v>
      </c>
      <c r="L166" s="24" t="s">
        <v>882</v>
      </c>
    </row>
    <row r="167" spans="1:12" ht="14.25">
      <c r="A167" s="24" t="s">
        <v>883</v>
      </c>
      <c r="B167" s="24" t="s">
        <v>884</v>
      </c>
      <c r="C167" s="24" t="s">
        <v>885</v>
      </c>
      <c r="D167" s="24">
        <f>"0,5596"</f>
        <v>0</v>
      </c>
      <c r="E167" s="24" t="s">
        <v>15</v>
      </c>
      <c r="F167" s="24" t="s">
        <v>812</v>
      </c>
      <c r="G167" s="24" t="s">
        <v>131</v>
      </c>
      <c r="H167" s="24" t="s">
        <v>212</v>
      </c>
      <c r="I167" s="25"/>
      <c r="J167" s="26">
        <v>195</v>
      </c>
      <c r="K167" s="24">
        <f>"109,1312"</f>
        <v>0</v>
      </c>
      <c r="L167" s="24"/>
    </row>
    <row r="168" spans="1:12" ht="14.25">
      <c r="A168" s="24" t="s">
        <v>868</v>
      </c>
      <c r="B168" s="24" t="s">
        <v>886</v>
      </c>
      <c r="C168" s="24" t="s">
        <v>870</v>
      </c>
      <c r="D168" s="24">
        <f>"0,5673"</f>
        <v>0</v>
      </c>
      <c r="E168" s="24" t="s">
        <v>462</v>
      </c>
      <c r="F168" s="24" t="s">
        <v>74</v>
      </c>
      <c r="G168" s="24" t="s">
        <v>83</v>
      </c>
      <c r="H168" s="25" t="s">
        <v>78</v>
      </c>
      <c r="I168" s="25"/>
      <c r="J168" s="26">
        <v>225</v>
      </c>
      <c r="K168" s="24">
        <f>"127,6508"</f>
        <v>0</v>
      </c>
      <c r="L168" s="24"/>
    </row>
    <row r="169" spans="1:12" ht="14.25">
      <c r="A169" s="20" t="s">
        <v>871</v>
      </c>
      <c r="B169" s="20" t="s">
        <v>887</v>
      </c>
      <c r="C169" s="20" t="s">
        <v>873</v>
      </c>
      <c r="D169" s="20">
        <f>"0,5848"</f>
        <v>0</v>
      </c>
      <c r="E169" s="20" t="s">
        <v>232</v>
      </c>
      <c r="F169" s="20" t="s">
        <v>47</v>
      </c>
      <c r="G169" s="20" t="s">
        <v>131</v>
      </c>
      <c r="H169" s="20" t="s">
        <v>798</v>
      </c>
      <c r="I169" s="21"/>
      <c r="J169" s="22">
        <v>202.5</v>
      </c>
      <c r="K169" s="20">
        <f>"118,4197"</f>
        <v>0</v>
      </c>
      <c r="L169" s="20"/>
    </row>
    <row r="171" spans="1:11" ht="16.5">
      <c r="A171" s="23" t="s">
        <v>140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2" ht="14.25">
      <c r="A172" s="16" t="s">
        <v>888</v>
      </c>
      <c r="B172" s="16" t="s">
        <v>889</v>
      </c>
      <c r="C172" s="16" t="s">
        <v>890</v>
      </c>
      <c r="D172" s="16">
        <f>"0,5217"</f>
        <v>0</v>
      </c>
      <c r="E172" s="16" t="s">
        <v>891</v>
      </c>
      <c r="F172" s="18" t="s">
        <v>41</v>
      </c>
      <c r="G172" s="18" t="s">
        <v>41</v>
      </c>
      <c r="H172" s="18" t="s">
        <v>41</v>
      </c>
      <c r="I172" s="18"/>
      <c r="J172" s="19">
        <v>0</v>
      </c>
      <c r="K172" s="16">
        <f>"0,0000"</f>
        <v>0</v>
      </c>
      <c r="L172" s="16"/>
    </row>
    <row r="173" spans="1:12" ht="14.25">
      <c r="A173" s="24" t="s">
        <v>892</v>
      </c>
      <c r="B173" s="24" t="s">
        <v>893</v>
      </c>
      <c r="C173" s="24" t="s">
        <v>894</v>
      </c>
      <c r="D173" s="24">
        <f>"0,5387"</f>
        <v>0</v>
      </c>
      <c r="E173" s="24" t="s">
        <v>15</v>
      </c>
      <c r="F173" s="24" t="s">
        <v>131</v>
      </c>
      <c r="G173" s="24" t="s">
        <v>620</v>
      </c>
      <c r="H173" s="24" t="s">
        <v>704</v>
      </c>
      <c r="I173" s="25"/>
      <c r="J173" s="26">
        <v>197.5</v>
      </c>
      <c r="K173" s="24">
        <f>"106,3938"</f>
        <v>0</v>
      </c>
      <c r="L173" s="24"/>
    </row>
    <row r="174" spans="1:12" ht="14.25">
      <c r="A174" s="20" t="s">
        <v>141</v>
      </c>
      <c r="B174" s="20" t="s">
        <v>142</v>
      </c>
      <c r="C174" s="20" t="s">
        <v>143</v>
      </c>
      <c r="D174" s="20">
        <f>"0,6621"</f>
        <v>0</v>
      </c>
      <c r="E174" s="20" t="s">
        <v>15</v>
      </c>
      <c r="F174" s="20" t="s">
        <v>54</v>
      </c>
      <c r="G174" s="21" t="s">
        <v>486</v>
      </c>
      <c r="H174" s="21" t="s">
        <v>486</v>
      </c>
      <c r="I174" s="21"/>
      <c r="J174" s="22" t="s">
        <v>895</v>
      </c>
      <c r="K174" s="20" t="s">
        <v>896</v>
      </c>
      <c r="L174" s="20"/>
    </row>
    <row r="176" ht="16.5">
      <c r="E176" s="30" t="s">
        <v>144</v>
      </c>
    </row>
    <row r="177" ht="16.5">
      <c r="E177" s="30" t="s">
        <v>145</v>
      </c>
    </row>
    <row r="178" ht="16.5">
      <c r="E178" s="30" t="s">
        <v>146</v>
      </c>
    </row>
    <row r="179" ht="14.25">
      <c r="E179" s="1" t="s">
        <v>147</v>
      </c>
    </row>
    <row r="180" ht="14.25">
      <c r="E180" s="1" t="s">
        <v>148</v>
      </c>
    </row>
    <row r="181" ht="14.25">
      <c r="E181" s="1" t="s">
        <v>149</v>
      </c>
    </row>
    <row r="184" spans="1:2" ht="18.75">
      <c r="A184" s="31" t="s">
        <v>150</v>
      </c>
      <c r="B184" s="31"/>
    </row>
    <row r="185" spans="1:2" ht="16.5">
      <c r="A185" s="32" t="s">
        <v>151</v>
      </c>
      <c r="B185" s="32"/>
    </row>
    <row r="186" spans="1:2" ht="15.75">
      <c r="A186" s="33" t="s">
        <v>375</v>
      </c>
      <c r="B186" s="34"/>
    </row>
    <row r="187" spans="1:5" ht="15.75">
      <c r="A187" s="35" t="s">
        <v>1</v>
      </c>
      <c r="B187" s="35" t="s">
        <v>153</v>
      </c>
      <c r="C187" s="35" t="s">
        <v>154</v>
      </c>
      <c r="D187" s="35" t="s">
        <v>7</v>
      </c>
      <c r="E187" s="35" t="s">
        <v>155</v>
      </c>
    </row>
    <row r="188" spans="1:5" ht="14.25">
      <c r="A188" s="36" t="s">
        <v>12</v>
      </c>
      <c r="B188" s="1" t="s">
        <v>376</v>
      </c>
      <c r="C188" s="1" t="s">
        <v>158</v>
      </c>
      <c r="D188" s="1" t="s">
        <v>527</v>
      </c>
      <c r="E188" s="37" t="s">
        <v>897</v>
      </c>
    </row>
    <row r="190" spans="1:2" ht="15.75">
      <c r="A190" s="33" t="s">
        <v>152</v>
      </c>
      <c r="B190" s="34"/>
    </row>
    <row r="191" spans="1:5" ht="15.75">
      <c r="A191" s="35" t="s">
        <v>1</v>
      </c>
      <c r="B191" s="35" t="s">
        <v>153</v>
      </c>
      <c r="C191" s="35" t="s">
        <v>154</v>
      </c>
      <c r="D191" s="35" t="s">
        <v>7</v>
      </c>
      <c r="E191" s="35" t="s">
        <v>155</v>
      </c>
    </row>
    <row r="192" spans="1:5" ht="14.25">
      <c r="A192" s="36" t="s">
        <v>549</v>
      </c>
      <c r="B192" s="1" t="s">
        <v>152</v>
      </c>
      <c r="C192" s="1" t="s">
        <v>156</v>
      </c>
      <c r="D192" s="1" t="s">
        <v>62</v>
      </c>
      <c r="E192" s="37" t="s">
        <v>898</v>
      </c>
    </row>
    <row r="193" spans="1:5" ht="14.25">
      <c r="A193" s="36" t="s">
        <v>513</v>
      </c>
      <c r="B193" s="1" t="s">
        <v>152</v>
      </c>
      <c r="C193" s="1" t="s">
        <v>372</v>
      </c>
      <c r="D193" s="1" t="s">
        <v>16</v>
      </c>
      <c r="E193" s="37" t="s">
        <v>899</v>
      </c>
    </row>
    <row r="194" spans="1:5" ht="14.25">
      <c r="A194" s="36" t="s">
        <v>552</v>
      </c>
      <c r="B194" s="1" t="s">
        <v>152</v>
      </c>
      <c r="C194" s="1" t="s">
        <v>156</v>
      </c>
      <c r="D194" s="1" t="s">
        <v>555</v>
      </c>
      <c r="E194" s="37" t="s">
        <v>900</v>
      </c>
    </row>
    <row r="195" spans="1:5" ht="14.25">
      <c r="A195" s="36" t="s">
        <v>533</v>
      </c>
      <c r="B195" s="1" t="s">
        <v>152</v>
      </c>
      <c r="C195" s="1" t="s">
        <v>158</v>
      </c>
      <c r="D195" s="1" t="s">
        <v>516</v>
      </c>
      <c r="E195" s="37" t="s">
        <v>901</v>
      </c>
    </row>
    <row r="196" spans="1:5" ht="14.25">
      <c r="A196" s="36" t="s">
        <v>556</v>
      </c>
      <c r="B196" s="1" t="s">
        <v>152</v>
      </c>
      <c r="C196" s="1" t="s">
        <v>156</v>
      </c>
      <c r="D196" s="1" t="s">
        <v>17</v>
      </c>
      <c r="E196" s="37" t="s">
        <v>902</v>
      </c>
    </row>
    <row r="197" spans="1:5" ht="14.25">
      <c r="A197" s="36" t="s">
        <v>506</v>
      </c>
      <c r="B197" s="1" t="s">
        <v>152</v>
      </c>
      <c r="C197" s="1" t="s">
        <v>379</v>
      </c>
      <c r="D197" s="1" t="s">
        <v>511</v>
      </c>
      <c r="E197" s="37" t="s">
        <v>903</v>
      </c>
    </row>
    <row r="198" spans="1:5" ht="14.25">
      <c r="A198" s="36" t="s">
        <v>559</v>
      </c>
      <c r="B198" s="1" t="s">
        <v>152</v>
      </c>
      <c r="C198" s="1" t="s">
        <v>156</v>
      </c>
      <c r="D198" s="1" t="s">
        <v>516</v>
      </c>
      <c r="E198" s="37" t="s">
        <v>904</v>
      </c>
    </row>
    <row r="199" spans="1:5" ht="14.25">
      <c r="A199" s="36" t="s">
        <v>569</v>
      </c>
      <c r="B199" s="1" t="s">
        <v>152</v>
      </c>
      <c r="C199" s="1" t="s">
        <v>171</v>
      </c>
      <c r="D199" s="1" t="s">
        <v>217</v>
      </c>
      <c r="E199" s="37" t="s">
        <v>905</v>
      </c>
    </row>
    <row r="200" spans="1:5" ht="14.25">
      <c r="A200" s="36" t="s">
        <v>537</v>
      </c>
      <c r="B200" s="1" t="s">
        <v>152</v>
      </c>
      <c r="C200" s="1" t="s">
        <v>158</v>
      </c>
      <c r="D200" s="1" t="s">
        <v>528</v>
      </c>
      <c r="E200" s="37" t="s">
        <v>906</v>
      </c>
    </row>
    <row r="201" spans="1:5" ht="14.25">
      <c r="A201" s="36" t="s">
        <v>12</v>
      </c>
      <c r="B201" s="1" t="s">
        <v>152</v>
      </c>
      <c r="C201" s="1" t="s">
        <v>158</v>
      </c>
      <c r="D201" s="1" t="s">
        <v>527</v>
      </c>
      <c r="E201" s="37" t="s">
        <v>897</v>
      </c>
    </row>
    <row r="203" spans="1:2" ht="15.75">
      <c r="A203" s="33" t="s">
        <v>160</v>
      </c>
      <c r="B203" s="34"/>
    </row>
    <row r="204" spans="1:5" ht="15.75">
      <c r="A204" s="35" t="s">
        <v>1</v>
      </c>
      <c r="B204" s="35" t="s">
        <v>153</v>
      </c>
      <c r="C204" s="35" t="s">
        <v>154</v>
      </c>
      <c r="D204" s="35" t="s">
        <v>7</v>
      </c>
      <c r="E204" s="35" t="s">
        <v>155</v>
      </c>
    </row>
    <row r="205" spans="1:5" ht="14.25">
      <c r="A205" s="36" t="s">
        <v>32</v>
      </c>
      <c r="B205" s="1" t="s">
        <v>161</v>
      </c>
      <c r="C205" s="1" t="s">
        <v>156</v>
      </c>
      <c r="D205" s="1" t="s">
        <v>17</v>
      </c>
      <c r="E205" s="37" t="s">
        <v>907</v>
      </c>
    </row>
    <row r="206" spans="1:5" ht="14.25">
      <c r="A206" s="36" t="s">
        <v>517</v>
      </c>
      <c r="B206" s="1" t="s">
        <v>188</v>
      </c>
      <c r="C206" s="1" t="s">
        <v>372</v>
      </c>
      <c r="D206" s="1" t="s">
        <v>24</v>
      </c>
      <c r="E206" s="37" t="s">
        <v>908</v>
      </c>
    </row>
    <row r="207" spans="1:5" ht="14.25">
      <c r="A207" s="36" t="s">
        <v>533</v>
      </c>
      <c r="B207" s="1" t="s">
        <v>399</v>
      </c>
      <c r="C207" s="1" t="s">
        <v>158</v>
      </c>
      <c r="D207" s="1" t="s">
        <v>516</v>
      </c>
      <c r="E207" s="37" t="s">
        <v>901</v>
      </c>
    </row>
    <row r="208" spans="1:5" ht="14.25">
      <c r="A208" s="36" t="s">
        <v>544</v>
      </c>
      <c r="B208" s="1" t="s">
        <v>909</v>
      </c>
      <c r="C208" s="1" t="s">
        <v>158</v>
      </c>
      <c r="D208" s="1" t="s">
        <v>463</v>
      </c>
      <c r="E208" s="37" t="s">
        <v>910</v>
      </c>
    </row>
    <row r="209" spans="1:5" ht="14.25">
      <c r="A209" s="36" t="s">
        <v>565</v>
      </c>
      <c r="B209" s="1" t="s">
        <v>192</v>
      </c>
      <c r="C209" s="1" t="s">
        <v>156</v>
      </c>
      <c r="D209" s="1" t="s">
        <v>510</v>
      </c>
      <c r="E209" s="37" t="s">
        <v>911</v>
      </c>
    </row>
    <row r="210" spans="1:5" ht="14.25">
      <c r="A210" s="36" t="s">
        <v>563</v>
      </c>
      <c r="B210" s="1" t="s">
        <v>399</v>
      </c>
      <c r="C210" s="1" t="s">
        <v>156</v>
      </c>
      <c r="D210" s="1" t="s">
        <v>22</v>
      </c>
      <c r="E210" s="37" t="s">
        <v>912</v>
      </c>
    </row>
    <row r="211" spans="1:5" ht="14.25">
      <c r="A211" s="36" t="s">
        <v>520</v>
      </c>
      <c r="B211" s="1" t="s">
        <v>161</v>
      </c>
      <c r="C211" s="1" t="s">
        <v>372</v>
      </c>
      <c r="D211" s="1" t="s">
        <v>523</v>
      </c>
      <c r="E211" s="37" t="s">
        <v>913</v>
      </c>
    </row>
    <row r="214" spans="1:2" ht="16.5">
      <c r="A214" s="32" t="s">
        <v>164</v>
      </c>
      <c r="B214" s="32"/>
    </row>
    <row r="215" spans="1:2" ht="15.75">
      <c r="A215" s="33" t="s">
        <v>375</v>
      </c>
      <c r="B215" s="34"/>
    </row>
    <row r="216" spans="1:5" ht="15.75">
      <c r="A216" s="35" t="s">
        <v>1</v>
      </c>
      <c r="B216" s="35" t="s">
        <v>153</v>
      </c>
      <c r="C216" s="35" t="s">
        <v>154</v>
      </c>
      <c r="D216" s="35" t="s">
        <v>7</v>
      </c>
      <c r="E216" s="35" t="s">
        <v>155</v>
      </c>
    </row>
    <row r="217" spans="1:5" ht="14.25">
      <c r="A217" s="36" t="s">
        <v>649</v>
      </c>
      <c r="B217" s="1" t="s">
        <v>376</v>
      </c>
      <c r="C217" s="1" t="s">
        <v>171</v>
      </c>
      <c r="D217" s="1" t="s">
        <v>240</v>
      </c>
      <c r="E217" s="37" t="s">
        <v>914</v>
      </c>
    </row>
    <row r="218" spans="1:5" ht="14.25">
      <c r="A218" s="36" t="s">
        <v>610</v>
      </c>
      <c r="B218" s="1" t="s">
        <v>376</v>
      </c>
      <c r="C218" s="1" t="s">
        <v>156</v>
      </c>
      <c r="D218" s="1" t="s">
        <v>36</v>
      </c>
      <c r="E218" s="37" t="s">
        <v>915</v>
      </c>
    </row>
    <row r="219" spans="1:5" ht="14.25">
      <c r="A219" s="36" t="s">
        <v>694</v>
      </c>
      <c r="B219" s="1" t="s">
        <v>376</v>
      </c>
      <c r="C219" s="1" t="s">
        <v>181</v>
      </c>
      <c r="D219" s="1" t="s">
        <v>62</v>
      </c>
      <c r="E219" s="37" t="s">
        <v>916</v>
      </c>
    </row>
    <row r="220" spans="1:5" ht="14.25">
      <c r="A220" s="36" t="s">
        <v>595</v>
      </c>
      <c r="B220" s="1" t="s">
        <v>917</v>
      </c>
      <c r="C220" s="1" t="s">
        <v>158</v>
      </c>
      <c r="D220" s="1" t="s">
        <v>23</v>
      </c>
      <c r="E220" s="37" t="s">
        <v>918</v>
      </c>
    </row>
    <row r="221" spans="1:5" ht="14.25">
      <c r="A221" s="36" t="s">
        <v>646</v>
      </c>
      <c r="B221" s="1" t="s">
        <v>917</v>
      </c>
      <c r="C221" s="1" t="s">
        <v>171</v>
      </c>
      <c r="D221" s="1" t="s">
        <v>260</v>
      </c>
      <c r="E221" s="37" t="s">
        <v>919</v>
      </c>
    </row>
    <row r="222" spans="1:5" ht="14.25">
      <c r="A222" s="36" t="s">
        <v>598</v>
      </c>
      <c r="B222" s="1" t="s">
        <v>917</v>
      </c>
      <c r="C222" s="1" t="s">
        <v>158</v>
      </c>
      <c r="D222" s="1" t="s">
        <v>328</v>
      </c>
      <c r="E222" s="37" t="s">
        <v>920</v>
      </c>
    </row>
    <row r="223" spans="1:5" ht="14.25">
      <c r="A223" s="36" t="s">
        <v>591</v>
      </c>
      <c r="B223" s="1" t="s">
        <v>921</v>
      </c>
      <c r="C223" s="1" t="s">
        <v>158</v>
      </c>
      <c r="D223" s="1" t="s">
        <v>463</v>
      </c>
      <c r="E223" s="37" t="s">
        <v>922</v>
      </c>
    </row>
    <row r="224" spans="1:5" ht="14.25">
      <c r="A224" s="36" t="s">
        <v>577</v>
      </c>
      <c r="B224" s="1" t="s">
        <v>921</v>
      </c>
      <c r="C224" s="1" t="s">
        <v>379</v>
      </c>
      <c r="D224" s="1" t="s">
        <v>581</v>
      </c>
      <c r="E224" s="37" t="s">
        <v>923</v>
      </c>
    </row>
    <row r="226" spans="1:2" ht="15.75">
      <c r="A226" s="33" t="s">
        <v>165</v>
      </c>
      <c r="B226" s="34"/>
    </row>
    <row r="227" spans="1:5" ht="15.75">
      <c r="A227" s="35" t="s">
        <v>1</v>
      </c>
      <c r="B227" s="35" t="s">
        <v>153</v>
      </c>
      <c r="C227" s="35" t="s">
        <v>154</v>
      </c>
      <c r="D227" s="35" t="s">
        <v>7</v>
      </c>
      <c r="E227" s="35" t="s">
        <v>155</v>
      </c>
    </row>
    <row r="228" spans="1:5" ht="14.25">
      <c r="A228" s="36" t="s">
        <v>225</v>
      </c>
      <c r="B228" s="1" t="s">
        <v>166</v>
      </c>
      <c r="C228" s="1" t="s">
        <v>171</v>
      </c>
      <c r="D228" s="1" t="s">
        <v>93</v>
      </c>
      <c r="E228" s="37" t="s">
        <v>924</v>
      </c>
    </row>
    <row r="229" spans="1:5" ht="14.25">
      <c r="A229" s="36" t="s">
        <v>747</v>
      </c>
      <c r="B229" s="1" t="s">
        <v>166</v>
      </c>
      <c r="C229" s="1" t="s">
        <v>167</v>
      </c>
      <c r="D229" s="1" t="s">
        <v>131</v>
      </c>
      <c r="E229" s="37" t="s">
        <v>925</v>
      </c>
    </row>
    <row r="230" spans="1:5" ht="14.25">
      <c r="A230" s="36" t="s">
        <v>778</v>
      </c>
      <c r="B230" s="1" t="s">
        <v>166</v>
      </c>
      <c r="C230" s="1" t="s">
        <v>173</v>
      </c>
      <c r="D230" s="56" t="s">
        <v>781</v>
      </c>
      <c r="E230" s="43" t="s">
        <v>782</v>
      </c>
    </row>
    <row r="231" spans="1:5" ht="14.25">
      <c r="A231" s="36" t="s">
        <v>783</v>
      </c>
      <c r="B231" s="1" t="s">
        <v>166</v>
      </c>
      <c r="C231" s="1" t="s">
        <v>173</v>
      </c>
      <c r="D231" s="1" t="s">
        <v>93</v>
      </c>
      <c r="E231" s="37" t="s">
        <v>926</v>
      </c>
    </row>
    <row r="232" spans="1:5" ht="14.25">
      <c r="A232" s="36" t="s">
        <v>601</v>
      </c>
      <c r="B232" s="1" t="s">
        <v>166</v>
      </c>
      <c r="C232" s="1" t="s">
        <v>158</v>
      </c>
      <c r="D232" s="1" t="s">
        <v>29</v>
      </c>
      <c r="E232" s="37" t="s">
        <v>927</v>
      </c>
    </row>
    <row r="233" spans="1:5" ht="14.25">
      <c r="A233" s="36" t="s">
        <v>128</v>
      </c>
      <c r="B233" s="1" t="s">
        <v>166</v>
      </c>
      <c r="C233" s="1" t="s">
        <v>169</v>
      </c>
      <c r="D233" s="1" t="s">
        <v>54</v>
      </c>
      <c r="E233" s="37" t="s">
        <v>928</v>
      </c>
    </row>
    <row r="235" spans="1:2" ht="15.75">
      <c r="A235" s="33" t="s">
        <v>152</v>
      </c>
      <c r="B235" s="34"/>
    </row>
    <row r="236" spans="1:5" ht="15.75">
      <c r="A236" s="35" t="s">
        <v>1</v>
      </c>
      <c r="B236" s="35" t="s">
        <v>153</v>
      </c>
      <c r="C236" s="35" t="s">
        <v>154</v>
      </c>
      <c r="D236" s="35" t="s">
        <v>7</v>
      </c>
      <c r="E236" s="35" t="s">
        <v>155</v>
      </c>
    </row>
    <row r="237" spans="1:5" ht="14.25">
      <c r="A237" s="36" t="s">
        <v>667</v>
      </c>
      <c r="B237" s="1" t="s">
        <v>152</v>
      </c>
      <c r="C237" s="1" t="s">
        <v>171</v>
      </c>
      <c r="D237" s="1" t="s">
        <v>88</v>
      </c>
      <c r="E237" s="37" t="s">
        <v>929</v>
      </c>
    </row>
    <row r="238" spans="1:5" ht="14.25">
      <c r="A238" s="36" t="s">
        <v>95</v>
      </c>
      <c r="B238" s="1" t="s">
        <v>152</v>
      </c>
      <c r="C238" s="1" t="s">
        <v>173</v>
      </c>
      <c r="D238" s="1" t="s">
        <v>219</v>
      </c>
      <c r="E238" s="37" t="s">
        <v>930</v>
      </c>
    </row>
    <row r="239" spans="1:5" ht="14.25">
      <c r="A239" s="36" t="s">
        <v>696</v>
      </c>
      <c r="B239" s="1" t="s">
        <v>152</v>
      </c>
      <c r="C239" s="1" t="s">
        <v>181</v>
      </c>
      <c r="D239" s="1" t="s">
        <v>88</v>
      </c>
      <c r="E239" s="37" t="s">
        <v>931</v>
      </c>
    </row>
    <row r="240" spans="1:5" ht="14.25">
      <c r="A240" s="36" t="s">
        <v>750</v>
      </c>
      <c r="B240" s="1" t="s">
        <v>152</v>
      </c>
      <c r="C240" s="1" t="s">
        <v>167</v>
      </c>
      <c r="D240" s="1" t="s">
        <v>233</v>
      </c>
      <c r="E240" s="37" t="s">
        <v>932</v>
      </c>
    </row>
    <row r="241" spans="1:5" ht="14.25">
      <c r="A241" s="36" t="s">
        <v>617</v>
      </c>
      <c r="B241" s="1" t="s">
        <v>152</v>
      </c>
      <c r="C241" s="1" t="s">
        <v>156</v>
      </c>
      <c r="D241" s="1" t="s">
        <v>240</v>
      </c>
      <c r="E241" s="37" t="s">
        <v>933</v>
      </c>
    </row>
    <row r="242" spans="1:5" ht="14.25">
      <c r="A242" s="36" t="s">
        <v>787</v>
      </c>
      <c r="B242" s="1" t="s">
        <v>152</v>
      </c>
      <c r="C242" s="1" t="s">
        <v>173</v>
      </c>
      <c r="D242" s="1" t="s">
        <v>83</v>
      </c>
      <c r="E242" s="37" t="s">
        <v>934</v>
      </c>
    </row>
    <row r="243" spans="1:5" ht="14.25">
      <c r="A243" s="36" t="s">
        <v>826</v>
      </c>
      <c r="B243" s="1" t="s">
        <v>152</v>
      </c>
      <c r="C243" s="1" t="s">
        <v>169</v>
      </c>
      <c r="D243" s="1" t="s">
        <v>233</v>
      </c>
      <c r="E243" s="37" t="s">
        <v>935</v>
      </c>
    </row>
    <row r="244" spans="1:5" ht="14.25">
      <c r="A244" s="36" t="s">
        <v>701</v>
      </c>
      <c r="B244" s="1" t="s">
        <v>152</v>
      </c>
      <c r="C244" s="1" t="s">
        <v>181</v>
      </c>
      <c r="D244" s="1" t="s">
        <v>704</v>
      </c>
      <c r="E244" s="37" t="s">
        <v>936</v>
      </c>
    </row>
    <row r="245" spans="1:5" ht="14.25">
      <c r="A245" s="36" t="s">
        <v>789</v>
      </c>
      <c r="B245" s="1" t="s">
        <v>152</v>
      </c>
      <c r="C245" s="1" t="s">
        <v>173</v>
      </c>
      <c r="D245" s="1" t="s">
        <v>250</v>
      </c>
      <c r="E245" s="37" t="s">
        <v>937</v>
      </c>
    </row>
    <row r="246" spans="1:5" ht="14.25">
      <c r="A246" s="36" t="s">
        <v>829</v>
      </c>
      <c r="B246" s="1" t="s">
        <v>152</v>
      </c>
      <c r="C246" s="1" t="s">
        <v>169</v>
      </c>
      <c r="D246" s="1" t="s">
        <v>831</v>
      </c>
      <c r="E246" s="37" t="s">
        <v>938</v>
      </c>
    </row>
    <row r="247" spans="1:5" ht="14.25">
      <c r="A247" s="36" t="s">
        <v>868</v>
      </c>
      <c r="B247" s="1" t="s">
        <v>152</v>
      </c>
      <c r="C247" s="1" t="s">
        <v>175</v>
      </c>
      <c r="D247" s="1" t="s">
        <v>83</v>
      </c>
      <c r="E247" s="37" t="s">
        <v>939</v>
      </c>
    </row>
    <row r="248" spans="1:5" ht="14.25">
      <c r="A248" s="36" t="s">
        <v>793</v>
      </c>
      <c r="B248" s="1" t="s">
        <v>152</v>
      </c>
      <c r="C248" s="1" t="s">
        <v>173</v>
      </c>
      <c r="D248" s="1" t="s">
        <v>250</v>
      </c>
      <c r="E248" s="37" t="s">
        <v>940</v>
      </c>
    </row>
    <row r="249" spans="1:5" ht="14.25">
      <c r="A249" s="36" t="s">
        <v>705</v>
      </c>
      <c r="B249" s="1" t="s">
        <v>152</v>
      </c>
      <c r="C249" s="1" t="s">
        <v>181</v>
      </c>
      <c r="D249" s="1" t="s">
        <v>131</v>
      </c>
      <c r="E249" s="37" t="s">
        <v>941</v>
      </c>
    </row>
    <row r="250" spans="1:5" ht="14.25">
      <c r="A250" s="36" t="s">
        <v>708</v>
      </c>
      <c r="B250" s="1" t="s">
        <v>152</v>
      </c>
      <c r="C250" s="1" t="s">
        <v>181</v>
      </c>
      <c r="D250" s="1" t="s">
        <v>131</v>
      </c>
      <c r="E250" s="37" t="s">
        <v>942</v>
      </c>
    </row>
    <row r="251" spans="1:5" ht="14.25">
      <c r="A251" s="36" t="s">
        <v>796</v>
      </c>
      <c r="B251" s="1" t="s">
        <v>152</v>
      </c>
      <c r="C251" s="1" t="s">
        <v>173</v>
      </c>
      <c r="D251" s="1" t="s">
        <v>88</v>
      </c>
      <c r="E251" s="37" t="s">
        <v>943</v>
      </c>
    </row>
    <row r="252" spans="1:5" ht="14.25">
      <c r="A252" s="36" t="s">
        <v>584</v>
      </c>
      <c r="B252" s="1" t="s">
        <v>152</v>
      </c>
      <c r="C252" s="1" t="s">
        <v>944</v>
      </c>
      <c r="D252" s="1" t="s">
        <v>30</v>
      </c>
      <c r="E252" s="37" t="s">
        <v>945</v>
      </c>
    </row>
    <row r="253" spans="1:5" ht="14.25">
      <c r="A253" s="36" t="s">
        <v>621</v>
      </c>
      <c r="B253" s="1" t="s">
        <v>152</v>
      </c>
      <c r="C253" s="1" t="s">
        <v>156</v>
      </c>
      <c r="D253" s="1" t="s">
        <v>46</v>
      </c>
      <c r="E253" s="37" t="s">
        <v>184</v>
      </c>
    </row>
    <row r="254" spans="1:5" ht="14.25">
      <c r="A254" s="36" t="s">
        <v>284</v>
      </c>
      <c r="B254" s="1" t="s">
        <v>152</v>
      </c>
      <c r="C254" s="1" t="s">
        <v>167</v>
      </c>
      <c r="D254" s="1" t="s">
        <v>87</v>
      </c>
      <c r="E254" s="37" t="s">
        <v>946</v>
      </c>
    </row>
    <row r="255" spans="1:5" ht="14.25">
      <c r="A255" s="36" t="s">
        <v>711</v>
      </c>
      <c r="B255" s="1" t="s">
        <v>152</v>
      </c>
      <c r="C255" s="1" t="s">
        <v>181</v>
      </c>
      <c r="D255" s="1" t="s">
        <v>240</v>
      </c>
      <c r="E255" s="37" t="s">
        <v>947</v>
      </c>
    </row>
    <row r="256" spans="1:5" ht="14.25">
      <c r="A256" s="36" t="s">
        <v>714</v>
      </c>
      <c r="B256" s="1" t="s">
        <v>152</v>
      </c>
      <c r="C256" s="1" t="s">
        <v>181</v>
      </c>
      <c r="D256" s="1" t="s">
        <v>240</v>
      </c>
      <c r="E256" s="37" t="s">
        <v>948</v>
      </c>
    </row>
    <row r="257" spans="1:5" ht="14.25">
      <c r="A257" s="36" t="s">
        <v>799</v>
      </c>
      <c r="B257" s="1" t="s">
        <v>152</v>
      </c>
      <c r="C257" s="1" t="s">
        <v>173</v>
      </c>
      <c r="D257" s="1" t="s">
        <v>87</v>
      </c>
      <c r="E257" s="37" t="s">
        <v>949</v>
      </c>
    </row>
    <row r="258" spans="1:5" ht="14.25">
      <c r="A258" s="36" t="s">
        <v>753</v>
      </c>
      <c r="B258" s="1" t="s">
        <v>152</v>
      </c>
      <c r="C258" s="1" t="s">
        <v>167</v>
      </c>
      <c r="D258" s="1" t="s">
        <v>620</v>
      </c>
      <c r="E258" s="37" t="s">
        <v>950</v>
      </c>
    </row>
    <row r="259" spans="1:5" ht="14.25">
      <c r="A259" s="36" t="s">
        <v>629</v>
      </c>
      <c r="B259" s="1" t="s">
        <v>152</v>
      </c>
      <c r="C259" s="1" t="s">
        <v>156</v>
      </c>
      <c r="D259" s="1" t="s">
        <v>486</v>
      </c>
      <c r="E259" s="37" t="s">
        <v>951</v>
      </c>
    </row>
    <row r="260" spans="1:5" ht="14.25">
      <c r="A260" s="36" t="s">
        <v>871</v>
      </c>
      <c r="B260" s="1" t="s">
        <v>152</v>
      </c>
      <c r="C260" s="1" t="s">
        <v>175</v>
      </c>
      <c r="D260" s="1" t="s">
        <v>798</v>
      </c>
      <c r="E260" s="37" t="s">
        <v>952</v>
      </c>
    </row>
    <row r="262" spans="1:2" ht="15.75">
      <c r="A262" s="33" t="s">
        <v>160</v>
      </c>
      <c r="B262" s="34"/>
    </row>
    <row r="263" spans="1:5" ht="15.75">
      <c r="A263" s="35" t="s">
        <v>1</v>
      </c>
      <c r="B263" s="35" t="s">
        <v>153</v>
      </c>
      <c r="C263" s="35" t="s">
        <v>154</v>
      </c>
      <c r="D263" s="35" t="s">
        <v>7</v>
      </c>
      <c r="E263" s="35" t="s">
        <v>155</v>
      </c>
    </row>
    <row r="264" spans="1:5" ht="14.25">
      <c r="A264" s="36" t="s">
        <v>768</v>
      </c>
      <c r="B264" s="1" t="s">
        <v>190</v>
      </c>
      <c r="C264" s="1" t="s">
        <v>167</v>
      </c>
      <c r="D264" s="1" t="s">
        <v>88</v>
      </c>
      <c r="E264" s="37" t="s">
        <v>953</v>
      </c>
    </row>
    <row r="265" spans="1:5" ht="14.25">
      <c r="A265" s="36" t="s">
        <v>819</v>
      </c>
      <c r="B265" s="1" t="s">
        <v>161</v>
      </c>
      <c r="C265" s="1" t="s">
        <v>173</v>
      </c>
      <c r="D265" s="1" t="s">
        <v>294</v>
      </c>
      <c r="E265" s="37" t="s">
        <v>954</v>
      </c>
    </row>
    <row r="266" spans="1:5" ht="14.25">
      <c r="A266" s="36" t="s">
        <v>719</v>
      </c>
      <c r="B266" s="1" t="s">
        <v>188</v>
      </c>
      <c r="C266" s="1" t="s">
        <v>181</v>
      </c>
      <c r="D266" s="1" t="s">
        <v>219</v>
      </c>
      <c r="E266" s="37" t="s">
        <v>955</v>
      </c>
    </row>
    <row r="267" spans="1:5" ht="14.25">
      <c r="A267" s="36" t="s">
        <v>124</v>
      </c>
      <c r="B267" s="1" t="s">
        <v>186</v>
      </c>
      <c r="C267" s="1" t="s">
        <v>173</v>
      </c>
      <c r="D267" s="1" t="s">
        <v>46</v>
      </c>
      <c r="E267" s="37" t="s">
        <v>956</v>
      </c>
    </row>
    <row r="268" spans="1:5" ht="14.25">
      <c r="A268" s="36" t="s">
        <v>813</v>
      </c>
      <c r="B268" s="1" t="s">
        <v>188</v>
      </c>
      <c r="C268" s="1" t="s">
        <v>173</v>
      </c>
      <c r="D268" s="1" t="s">
        <v>294</v>
      </c>
      <c r="E268" s="37" t="s">
        <v>957</v>
      </c>
    </row>
    <row r="269" spans="1:5" ht="14.25">
      <c r="A269" s="36" t="s">
        <v>95</v>
      </c>
      <c r="B269" s="1" t="s">
        <v>188</v>
      </c>
      <c r="C269" s="1" t="s">
        <v>173</v>
      </c>
      <c r="D269" s="1" t="s">
        <v>219</v>
      </c>
      <c r="E269" s="37" t="s">
        <v>958</v>
      </c>
    </row>
    <row r="270" spans="1:5" ht="14.25">
      <c r="A270" s="36" t="s">
        <v>426</v>
      </c>
      <c r="B270" s="1" t="s">
        <v>190</v>
      </c>
      <c r="C270" s="1" t="s">
        <v>181</v>
      </c>
      <c r="D270" s="1" t="s">
        <v>47</v>
      </c>
      <c r="E270" s="37" t="s">
        <v>959</v>
      </c>
    </row>
    <row r="271" spans="1:5" ht="14.25">
      <c r="A271" s="36" t="s">
        <v>801</v>
      </c>
      <c r="B271" s="1" t="s">
        <v>399</v>
      </c>
      <c r="C271" s="1" t="s">
        <v>173</v>
      </c>
      <c r="D271" s="1" t="s">
        <v>41</v>
      </c>
      <c r="E271" s="37" t="s">
        <v>960</v>
      </c>
    </row>
    <row r="272" spans="1:5" ht="14.25">
      <c r="A272" s="36" t="s">
        <v>675</v>
      </c>
      <c r="B272" s="1" t="s">
        <v>192</v>
      </c>
      <c r="C272" s="1" t="s">
        <v>171</v>
      </c>
      <c r="D272" s="1" t="s">
        <v>672</v>
      </c>
      <c r="E272" s="37" t="s">
        <v>961</v>
      </c>
    </row>
    <row r="273" spans="1:5" ht="14.25">
      <c r="A273" s="36" t="s">
        <v>738</v>
      </c>
      <c r="B273" s="1" t="s">
        <v>190</v>
      </c>
      <c r="C273" s="1" t="s">
        <v>181</v>
      </c>
      <c r="D273" s="1" t="s">
        <v>93</v>
      </c>
      <c r="E273" s="37" t="s">
        <v>962</v>
      </c>
    </row>
    <row r="274" spans="1:5" ht="14.25">
      <c r="A274" s="36" t="s">
        <v>410</v>
      </c>
      <c r="B274" s="1" t="s">
        <v>963</v>
      </c>
      <c r="C274" s="1" t="s">
        <v>171</v>
      </c>
      <c r="D274" s="1" t="s">
        <v>693</v>
      </c>
      <c r="E274" s="37" t="s">
        <v>964</v>
      </c>
    </row>
    <row r="275" spans="1:5" ht="14.25">
      <c r="A275" s="36" t="s">
        <v>729</v>
      </c>
      <c r="B275" s="1" t="s">
        <v>188</v>
      </c>
      <c r="C275" s="1" t="s">
        <v>181</v>
      </c>
      <c r="D275" s="1" t="s">
        <v>620</v>
      </c>
      <c r="E275" s="37" t="s">
        <v>965</v>
      </c>
    </row>
    <row r="276" spans="1:5" ht="14.25">
      <c r="A276" s="36" t="s">
        <v>256</v>
      </c>
      <c r="B276" s="1" t="s">
        <v>404</v>
      </c>
      <c r="C276" s="1" t="s">
        <v>171</v>
      </c>
      <c r="D276" s="1" t="s">
        <v>217</v>
      </c>
      <c r="E276" s="37" t="s">
        <v>966</v>
      </c>
    </row>
    <row r="277" spans="1:5" ht="14.25">
      <c r="A277" s="36" t="s">
        <v>868</v>
      </c>
      <c r="B277" s="1" t="s">
        <v>188</v>
      </c>
      <c r="C277" s="1" t="s">
        <v>175</v>
      </c>
      <c r="D277" s="1" t="s">
        <v>83</v>
      </c>
      <c r="E277" s="37" t="s">
        <v>967</v>
      </c>
    </row>
    <row r="278" spans="1:5" ht="14.25">
      <c r="A278" s="36" t="s">
        <v>846</v>
      </c>
      <c r="B278" s="1" t="s">
        <v>188</v>
      </c>
      <c r="C278" s="1" t="s">
        <v>169</v>
      </c>
      <c r="D278" s="1" t="s">
        <v>88</v>
      </c>
      <c r="E278" s="37" t="s">
        <v>968</v>
      </c>
    </row>
    <row r="279" spans="1:5" ht="14.25">
      <c r="A279" s="36" t="s">
        <v>803</v>
      </c>
      <c r="B279" s="1" t="s">
        <v>399</v>
      </c>
      <c r="C279" s="1" t="s">
        <v>173</v>
      </c>
      <c r="D279" s="1" t="s">
        <v>74</v>
      </c>
      <c r="E279" s="37" t="s">
        <v>969</v>
      </c>
    </row>
    <row r="280" spans="1:5" ht="14.25">
      <c r="A280" s="36" t="s">
        <v>823</v>
      </c>
      <c r="B280" s="1" t="s">
        <v>192</v>
      </c>
      <c r="C280" s="1" t="s">
        <v>173</v>
      </c>
      <c r="D280" s="1" t="s">
        <v>486</v>
      </c>
      <c r="E280" s="37" t="s">
        <v>970</v>
      </c>
    </row>
    <row r="281" spans="1:5" ht="14.25">
      <c r="A281" s="36" t="s">
        <v>708</v>
      </c>
      <c r="B281" s="1" t="s">
        <v>399</v>
      </c>
      <c r="C281" s="1" t="s">
        <v>181</v>
      </c>
      <c r="D281" s="1" t="s">
        <v>131</v>
      </c>
      <c r="E281" s="37" t="s">
        <v>971</v>
      </c>
    </row>
    <row r="282" spans="1:5" ht="14.25">
      <c r="A282" s="36" t="s">
        <v>588</v>
      </c>
      <c r="B282" s="1" t="s">
        <v>909</v>
      </c>
      <c r="C282" s="1" t="s">
        <v>944</v>
      </c>
      <c r="D282" s="1" t="s">
        <v>526</v>
      </c>
      <c r="E282" s="37" t="s">
        <v>972</v>
      </c>
    </row>
    <row r="283" spans="1:5" ht="14.25">
      <c r="A283" s="36" t="s">
        <v>346</v>
      </c>
      <c r="B283" s="1" t="s">
        <v>188</v>
      </c>
      <c r="C283" s="1" t="s">
        <v>169</v>
      </c>
      <c r="D283" s="1" t="s">
        <v>798</v>
      </c>
      <c r="E283" s="37" t="s">
        <v>973</v>
      </c>
    </row>
    <row r="284" spans="1:5" ht="14.25">
      <c r="A284" s="36" t="s">
        <v>849</v>
      </c>
      <c r="B284" s="1" t="s">
        <v>188</v>
      </c>
      <c r="C284" s="1" t="s">
        <v>169</v>
      </c>
      <c r="D284" s="1" t="s">
        <v>792</v>
      </c>
      <c r="E284" s="37" t="s">
        <v>974</v>
      </c>
    </row>
    <row r="285" spans="1:5" ht="14.25">
      <c r="A285" s="36" t="s">
        <v>284</v>
      </c>
      <c r="B285" s="1" t="s">
        <v>399</v>
      </c>
      <c r="C285" s="1" t="s">
        <v>167</v>
      </c>
      <c r="D285" s="1" t="s">
        <v>87</v>
      </c>
      <c r="E285" s="37" t="s">
        <v>975</v>
      </c>
    </row>
    <row r="286" spans="1:5" ht="14.25">
      <c r="A286" s="36" t="s">
        <v>759</v>
      </c>
      <c r="B286" s="1" t="s">
        <v>161</v>
      </c>
      <c r="C286" s="1" t="s">
        <v>167</v>
      </c>
      <c r="D286" s="1" t="s">
        <v>47</v>
      </c>
      <c r="E286" s="37" t="s">
        <v>976</v>
      </c>
    </row>
    <row r="287" spans="1:5" ht="14.25">
      <c r="A287" s="36" t="s">
        <v>871</v>
      </c>
      <c r="B287" s="1" t="s">
        <v>188</v>
      </c>
      <c r="C287" s="1" t="s">
        <v>175</v>
      </c>
      <c r="D287" s="1" t="s">
        <v>798</v>
      </c>
      <c r="E287" s="37" t="s">
        <v>977</v>
      </c>
    </row>
  </sheetData>
  <sheetProtection selectLockedCells="1" selectUnlockedCells="1"/>
  <mergeCells count="26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8:K8"/>
    <mergeCell ref="A13:K13"/>
    <mergeCell ref="A23:K23"/>
    <mergeCell ref="A32:K32"/>
    <mergeCell ref="A36:K36"/>
    <mergeCell ref="A39:K39"/>
    <mergeCell ref="A43:K43"/>
    <mergeCell ref="A51:K51"/>
    <mergeCell ref="A64:K64"/>
    <mergeCell ref="A83:K83"/>
    <mergeCell ref="A104:K104"/>
    <mergeCell ref="A119:K119"/>
    <mergeCell ref="A145:K145"/>
    <mergeCell ref="A162:K162"/>
    <mergeCell ref="A171:K1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J1" sqref="J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9" width="5.50390625" style="1" customWidth="1"/>
    <col min="10" max="10" width="6.375" style="37" customWidth="1"/>
    <col min="11" max="11" width="8.50390625" style="1" customWidth="1"/>
    <col min="12" max="12" width="7.125" style="1" customWidth="1"/>
  </cols>
  <sheetData>
    <row r="1" spans="1:12" s="4" customFormat="1" ht="14.25" customHeight="1">
      <c r="A1" s="3" t="s">
        <v>978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4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8"/>
      <c r="H3" s="8"/>
      <c r="I3" s="8"/>
      <c r="J3" s="40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40"/>
      <c r="K4" s="7"/>
      <c r="L4" s="10"/>
    </row>
    <row r="5" spans="1:11" ht="16.5">
      <c r="A5" s="15" t="s">
        <v>213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27" t="s">
        <v>979</v>
      </c>
      <c r="B6" s="27" t="s">
        <v>980</v>
      </c>
      <c r="C6" s="27" t="s">
        <v>981</v>
      </c>
      <c r="D6" s="27">
        <f>"1,0930"</f>
        <v>0</v>
      </c>
      <c r="E6" s="27" t="s">
        <v>211</v>
      </c>
      <c r="F6" s="27" t="s">
        <v>22</v>
      </c>
      <c r="G6" s="27" t="s">
        <v>23</v>
      </c>
      <c r="H6" s="27" t="s">
        <v>24</v>
      </c>
      <c r="I6" s="28" t="s">
        <v>516</v>
      </c>
      <c r="J6" s="41">
        <v>97.5</v>
      </c>
      <c r="K6" s="27">
        <f>"106,5671"</f>
        <v>0</v>
      </c>
      <c r="L6" s="27"/>
    </row>
    <row r="8" spans="1:11" ht="16.5">
      <c r="A8" s="23" t="s">
        <v>202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14.25">
      <c r="A9" s="27" t="s">
        <v>982</v>
      </c>
      <c r="B9" s="27" t="s">
        <v>983</v>
      </c>
      <c r="C9" s="27" t="s">
        <v>984</v>
      </c>
      <c r="D9" s="27">
        <f>"0,8910"</f>
        <v>0</v>
      </c>
      <c r="E9" s="27" t="s">
        <v>15</v>
      </c>
      <c r="F9" s="27" t="s">
        <v>328</v>
      </c>
      <c r="G9" s="27" t="s">
        <v>22</v>
      </c>
      <c r="H9" s="28" t="s">
        <v>693</v>
      </c>
      <c r="I9" s="28"/>
      <c r="J9" s="41">
        <v>90</v>
      </c>
      <c r="K9" s="27">
        <f>"80,1855"</f>
        <v>0</v>
      </c>
      <c r="L9" s="27"/>
    </row>
    <row r="11" spans="1:11" ht="16.5">
      <c r="A11" s="23" t="s">
        <v>63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2" ht="14.25">
      <c r="A12" s="16" t="s">
        <v>732</v>
      </c>
      <c r="B12" s="16" t="s">
        <v>985</v>
      </c>
      <c r="C12" s="16" t="s">
        <v>707</v>
      </c>
      <c r="D12" s="16">
        <f>"0,6331"</f>
        <v>0</v>
      </c>
      <c r="E12" s="16" t="s">
        <v>211</v>
      </c>
      <c r="F12" s="16" t="s">
        <v>36</v>
      </c>
      <c r="G12" s="16" t="s">
        <v>672</v>
      </c>
      <c r="H12" s="18" t="s">
        <v>678</v>
      </c>
      <c r="I12" s="18"/>
      <c r="J12" s="42">
        <v>147.5</v>
      </c>
      <c r="K12" s="16">
        <f>"93,3822"</f>
        <v>0</v>
      </c>
      <c r="L12" s="16"/>
    </row>
    <row r="13" spans="1:12" ht="14.25">
      <c r="A13" s="20" t="s">
        <v>986</v>
      </c>
      <c r="B13" s="20" t="s">
        <v>987</v>
      </c>
      <c r="C13" s="20" t="s">
        <v>721</v>
      </c>
      <c r="D13" s="20">
        <f>"0,6133"</f>
        <v>0</v>
      </c>
      <c r="E13" s="20" t="s">
        <v>15</v>
      </c>
      <c r="F13" s="20" t="s">
        <v>30</v>
      </c>
      <c r="G13" s="20" t="s">
        <v>62</v>
      </c>
      <c r="H13" s="21" t="s">
        <v>36</v>
      </c>
      <c r="I13" s="21"/>
      <c r="J13" s="44">
        <v>135</v>
      </c>
      <c r="K13" s="20">
        <f>"82,8022"</f>
        <v>0</v>
      </c>
      <c r="L13" s="20"/>
    </row>
    <row r="15" ht="16.5">
      <c r="E15" s="30" t="s">
        <v>144</v>
      </c>
    </row>
    <row r="16" ht="16.5">
      <c r="E16" s="30" t="s">
        <v>145</v>
      </c>
    </row>
    <row r="17" ht="16.5">
      <c r="E17" s="30" t="s">
        <v>146</v>
      </c>
    </row>
    <row r="18" ht="14.25">
      <c r="E18" s="1" t="s">
        <v>147</v>
      </c>
    </row>
    <row r="19" ht="14.25">
      <c r="E19" s="1" t="s">
        <v>148</v>
      </c>
    </row>
    <row r="20" ht="14.25">
      <c r="E20" s="1" t="s">
        <v>149</v>
      </c>
    </row>
    <row r="23" spans="1:2" ht="18.75">
      <c r="A23" s="31" t="s">
        <v>150</v>
      </c>
      <c r="B23" s="31"/>
    </row>
    <row r="24" spans="1:2" ht="16.5">
      <c r="A24" s="32" t="s">
        <v>164</v>
      </c>
      <c r="B24" s="32"/>
    </row>
    <row r="25" spans="1:2" ht="15.75">
      <c r="A25" s="33" t="s">
        <v>152</v>
      </c>
      <c r="B25" s="34"/>
    </row>
    <row r="26" spans="1:5" ht="15.75">
      <c r="A26" s="35" t="s">
        <v>1</v>
      </c>
      <c r="B26" s="35" t="s">
        <v>153</v>
      </c>
      <c r="C26" s="35" t="s">
        <v>154</v>
      </c>
      <c r="D26" s="35" t="s">
        <v>7</v>
      </c>
      <c r="E26" s="35" t="s">
        <v>155</v>
      </c>
    </row>
    <row r="27" spans="1:5" ht="14.25">
      <c r="A27" s="36" t="s">
        <v>732</v>
      </c>
      <c r="B27" s="1" t="s">
        <v>152</v>
      </c>
      <c r="C27" s="1" t="s">
        <v>181</v>
      </c>
      <c r="D27" s="1" t="s">
        <v>672</v>
      </c>
      <c r="E27" s="37" t="s">
        <v>988</v>
      </c>
    </row>
    <row r="28" spans="1:5" ht="14.25">
      <c r="A28" s="36" t="s">
        <v>986</v>
      </c>
      <c r="B28" s="1" t="s">
        <v>152</v>
      </c>
      <c r="C28" s="1" t="s">
        <v>181</v>
      </c>
      <c r="D28" s="1" t="s">
        <v>62</v>
      </c>
      <c r="E28" s="37" t="s">
        <v>989</v>
      </c>
    </row>
    <row r="29" spans="1:5" ht="14.25">
      <c r="A29" s="36" t="s">
        <v>982</v>
      </c>
      <c r="B29" s="1" t="s">
        <v>152</v>
      </c>
      <c r="C29" s="1" t="s">
        <v>372</v>
      </c>
      <c r="D29" s="1" t="s">
        <v>22</v>
      </c>
      <c r="E29" s="37" t="s">
        <v>990</v>
      </c>
    </row>
    <row r="31" spans="1:2" ht="15.75">
      <c r="A31" s="33" t="s">
        <v>160</v>
      </c>
      <c r="B31" s="34"/>
    </row>
    <row r="32" spans="1:5" ht="15.75">
      <c r="A32" s="35" t="s">
        <v>1</v>
      </c>
      <c r="B32" s="35" t="s">
        <v>153</v>
      </c>
      <c r="C32" s="35" t="s">
        <v>154</v>
      </c>
      <c r="D32" s="35" t="s">
        <v>7</v>
      </c>
      <c r="E32" s="35" t="s">
        <v>155</v>
      </c>
    </row>
    <row r="33" spans="1:5" ht="14.25">
      <c r="A33" s="36" t="s">
        <v>979</v>
      </c>
      <c r="B33" s="1" t="s">
        <v>188</v>
      </c>
      <c r="C33" s="1" t="s">
        <v>379</v>
      </c>
      <c r="D33" s="1" t="s">
        <v>24</v>
      </c>
      <c r="E33" s="37" t="s">
        <v>991</v>
      </c>
    </row>
  </sheetData>
  <sheetProtection selectLockedCells="1" selectUnlockedCells="1"/>
  <mergeCells count="13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8:K8"/>
    <mergeCell ref="A11:K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8"/>
  <sheetViews>
    <sheetView workbookViewId="0" topLeftCell="W64">
      <selection activeCell="J1" sqref="J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9" width="5.50390625" style="1" customWidth="1"/>
    <col min="10" max="10" width="6.375" style="37" customWidth="1"/>
    <col min="11" max="11" width="8.50390625" style="1" customWidth="1"/>
    <col min="12" max="12" width="7.125" style="1" customWidth="1"/>
  </cols>
  <sheetData>
    <row r="1" spans="1:12" s="4" customFormat="1" ht="15" customHeight="1">
      <c r="A1" s="3" t="s">
        <v>992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5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993</v>
      </c>
      <c r="G3" s="8"/>
      <c r="H3" s="8"/>
      <c r="I3" s="8"/>
      <c r="J3" s="40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40"/>
      <c r="K4" s="7"/>
      <c r="L4" s="10"/>
    </row>
    <row r="5" spans="1:11" ht="16.5">
      <c r="A5" s="15" t="s">
        <v>583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27" t="s">
        <v>994</v>
      </c>
      <c r="B6" s="27" t="s">
        <v>995</v>
      </c>
      <c r="C6" s="27" t="s">
        <v>996</v>
      </c>
      <c r="D6" s="27">
        <f>"1,3767"</f>
        <v>0</v>
      </c>
      <c r="E6" s="27" t="s">
        <v>327</v>
      </c>
      <c r="F6" s="28" t="s">
        <v>17</v>
      </c>
      <c r="G6" s="27" t="s">
        <v>17</v>
      </c>
      <c r="H6" s="28" t="s">
        <v>18</v>
      </c>
      <c r="I6" s="28"/>
      <c r="J6" s="41">
        <v>110</v>
      </c>
      <c r="K6" s="27">
        <f>"151,4341"</f>
        <v>0</v>
      </c>
      <c r="L6" s="27"/>
    </row>
    <row r="8" spans="1:11" ht="16.5">
      <c r="A8" s="23" t="s">
        <v>11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14.25">
      <c r="A9" s="16" t="s">
        <v>997</v>
      </c>
      <c r="B9" s="16" t="s">
        <v>998</v>
      </c>
      <c r="C9" s="16" t="s">
        <v>999</v>
      </c>
      <c r="D9" s="16">
        <f>"0,9772"</f>
        <v>0</v>
      </c>
      <c r="E9" s="16" t="s">
        <v>15</v>
      </c>
      <c r="F9" s="16" t="s">
        <v>35</v>
      </c>
      <c r="G9" s="16" t="s">
        <v>62</v>
      </c>
      <c r="H9" s="16" t="s">
        <v>36</v>
      </c>
      <c r="I9" s="18"/>
      <c r="J9" s="42">
        <v>140</v>
      </c>
      <c r="K9" s="16">
        <f>"136,8010"</f>
        <v>0</v>
      </c>
      <c r="L9" s="16"/>
    </row>
    <row r="10" spans="1:12" ht="14.25">
      <c r="A10" s="24" t="s">
        <v>1000</v>
      </c>
      <c r="B10" s="24" t="s">
        <v>1001</v>
      </c>
      <c r="C10" s="24" t="s">
        <v>1002</v>
      </c>
      <c r="D10" s="24">
        <f>"0,9451"</f>
        <v>0</v>
      </c>
      <c r="E10" s="24" t="s">
        <v>15</v>
      </c>
      <c r="F10" s="24" t="s">
        <v>92</v>
      </c>
      <c r="G10" s="25" t="s">
        <v>46</v>
      </c>
      <c r="H10" s="25" t="s">
        <v>46</v>
      </c>
      <c r="I10" s="57"/>
      <c r="J10" s="26" t="s">
        <v>627</v>
      </c>
      <c r="K10" s="24" t="s">
        <v>1003</v>
      </c>
      <c r="L10" s="24"/>
    </row>
    <row r="11" spans="1:12" ht="14.25">
      <c r="A11" s="20" t="s">
        <v>1004</v>
      </c>
      <c r="B11" s="20" t="s">
        <v>1005</v>
      </c>
      <c r="C11" s="20" t="s">
        <v>1006</v>
      </c>
      <c r="D11" s="20">
        <f>"0,9211"</f>
        <v>0</v>
      </c>
      <c r="E11" s="20" t="s">
        <v>15</v>
      </c>
      <c r="F11" s="20" t="s">
        <v>36</v>
      </c>
      <c r="G11" s="20" t="s">
        <v>54</v>
      </c>
      <c r="H11" s="21" t="s">
        <v>486</v>
      </c>
      <c r="I11" s="21"/>
      <c r="J11" s="44">
        <v>150</v>
      </c>
      <c r="K11" s="20">
        <f>"138,1650"</f>
        <v>0</v>
      </c>
      <c r="L11" s="20"/>
    </row>
    <row r="13" spans="1:11" ht="16.5">
      <c r="A13" s="23" t="s">
        <v>25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2" ht="14.25">
      <c r="A14" s="16" t="s">
        <v>563</v>
      </c>
      <c r="B14" s="16" t="s">
        <v>564</v>
      </c>
      <c r="C14" s="16" t="s">
        <v>561</v>
      </c>
      <c r="D14" s="16">
        <f>"0,8628"</f>
        <v>0</v>
      </c>
      <c r="E14" s="16" t="s">
        <v>223</v>
      </c>
      <c r="F14" s="16" t="s">
        <v>246</v>
      </c>
      <c r="G14" s="16" t="s">
        <v>626</v>
      </c>
      <c r="H14" s="18" t="s">
        <v>812</v>
      </c>
      <c r="I14" s="18"/>
      <c r="J14" s="42">
        <v>172.5</v>
      </c>
      <c r="K14" s="16">
        <f>"148,8317"</f>
        <v>0</v>
      </c>
      <c r="L14" s="16"/>
    </row>
    <row r="15" spans="1:12" ht="14.25">
      <c r="A15" s="20" t="s">
        <v>565</v>
      </c>
      <c r="B15" s="20" t="s">
        <v>566</v>
      </c>
      <c r="C15" s="20" t="s">
        <v>567</v>
      </c>
      <c r="D15" s="20">
        <f>"1,1529"</f>
        <v>0</v>
      </c>
      <c r="E15" s="20" t="s">
        <v>232</v>
      </c>
      <c r="F15" s="20" t="s">
        <v>246</v>
      </c>
      <c r="G15" s="20" t="s">
        <v>486</v>
      </c>
      <c r="H15" s="21"/>
      <c r="I15" s="21"/>
      <c r="J15" s="44">
        <v>160</v>
      </c>
      <c r="K15" s="20">
        <f>"184,4590"</f>
        <v>0</v>
      </c>
      <c r="L15" s="20"/>
    </row>
    <row r="17" spans="1:11" ht="16.5">
      <c r="A17" s="23" t="s">
        <v>49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2" ht="14.25">
      <c r="A18" s="16" t="s">
        <v>572</v>
      </c>
      <c r="B18" s="16" t="s">
        <v>1007</v>
      </c>
      <c r="C18" s="16" t="s">
        <v>574</v>
      </c>
      <c r="D18" s="16">
        <f>"0,7931"</f>
        <v>0</v>
      </c>
      <c r="E18" s="16" t="s">
        <v>232</v>
      </c>
      <c r="F18" s="18" t="s">
        <v>73</v>
      </c>
      <c r="G18" s="16" t="s">
        <v>74</v>
      </c>
      <c r="H18" s="18" t="s">
        <v>831</v>
      </c>
      <c r="I18" s="18"/>
      <c r="J18" s="42">
        <v>215</v>
      </c>
      <c r="K18" s="16">
        <f>"170,5165"</f>
        <v>0</v>
      </c>
      <c r="L18" s="16"/>
    </row>
    <row r="19" spans="1:12" ht="14.25">
      <c r="A19" s="20" t="s">
        <v>572</v>
      </c>
      <c r="B19" s="20" t="s">
        <v>573</v>
      </c>
      <c r="C19" s="20" t="s">
        <v>574</v>
      </c>
      <c r="D19" s="20">
        <f>"0,8962"</f>
        <v>0</v>
      </c>
      <c r="E19" s="20" t="s">
        <v>232</v>
      </c>
      <c r="F19" s="21" t="s">
        <v>73</v>
      </c>
      <c r="G19" s="20" t="s">
        <v>74</v>
      </c>
      <c r="H19" s="21" t="s">
        <v>831</v>
      </c>
      <c r="I19" s="21"/>
      <c r="J19" s="44">
        <v>215</v>
      </c>
      <c r="K19" s="20">
        <f>"192,6836"</f>
        <v>0</v>
      </c>
      <c r="L19" s="20"/>
    </row>
    <row r="21" spans="1:11" ht="16.5">
      <c r="A21" s="23" t="s">
        <v>63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2" ht="14.25">
      <c r="A22" s="27" t="s">
        <v>1008</v>
      </c>
      <c r="B22" s="27" t="s">
        <v>1009</v>
      </c>
      <c r="C22" s="27" t="s">
        <v>266</v>
      </c>
      <c r="D22" s="27">
        <f>"0,7502"</f>
        <v>0</v>
      </c>
      <c r="E22" s="27" t="s">
        <v>232</v>
      </c>
      <c r="F22" s="27" t="s">
        <v>46</v>
      </c>
      <c r="G22" s="27" t="s">
        <v>93</v>
      </c>
      <c r="H22" s="28" t="s">
        <v>47</v>
      </c>
      <c r="I22" s="28"/>
      <c r="J22" s="41">
        <v>175</v>
      </c>
      <c r="K22" s="27">
        <f>"131,2850"</f>
        <v>0</v>
      </c>
      <c r="L22" s="27"/>
    </row>
    <row r="24" spans="1:11" ht="16.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2" ht="14.25">
      <c r="A25" s="16" t="s">
        <v>598</v>
      </c>
      <c r="B25" s="16" t="s">
        <v>599</v>
      </c>
      <c r="C25" s="16" t="s">
        <v>600</v>
      </c>
      <c r="D25" s="16">
        <f>"0,7522"</f>
        <v>0</v>
      </c>
      <c r="E25" s="16" t="s">
        <v>223</v>
      </c>
      <c r="F25" s="16" t="s">
        <v>36</v>
      </c>
      <c r="G25" s="16" t="s">
        <v>54</v>
      </c>
      <c r="H25" s="16" t="s">
        <v>486</v>
      </c>
      <c r="I25" s="18"/>
      <c r="J25" s="42">
        <v>160</v>
      </c>
      <c r="K25" s="16">
        <f>"120,3520"</f>
        <v>0</v>
      </c>
      <c r="L25" s="16"/>
    </row>
    <row r="26" spans="1:12" ht="14.25">
      <c r="A26" s="20" t="s">
        <v>1010</v>
      </c>
      <c r="B26" s="20" t="s">
        <v>1011</v>
      </c>
      <c r="C26" s="20" t="s">
        <v>1012</v>
      </c>
      <c r="D26" s="20">
        <f>"0,7541"</f>
        <v>0</v>
      </c>
      <c r="E26" s="20" t="s">
        <v>228</v>
      </c>
      <c r="F26" s="21" t="s">
        <v>47</v>
      </c>
      <c r="G26" s="20" t="s">
        <v>47</v>
      </c>
      <c r="H26" s="21" t="s">
        <v>131</v>
      </c>
      <c r="I26" s="21"/>
      <c r="J26" s="44">
        <v>180</v>
      </c>
      <c r="K26" s="20">
        <f>"135,7470"</f>
        <v>0</v>
      </c>
      <c r="L26" s="20"/>
    </row>
    <row r="28" spans="1:11" ht="16.5">
      <c r="A28" s="23" t="s">
        <v>25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2" ht="14.25">
      <c r="A29" s="16" t="s">
        <v>1013</v>
      </c>
      <c r="B29" s="16" t="s">
        <v>1014</v>
      </c>
      <c r="C29" s="16" t="s">
        <v>1015</v>
      </c>
      <c r="D29" s="16">
        <f>"0,6969"</f>
        <v>0</v>
      </c>
      <c r="E29" s="16" t="s">
        <v>15</v>
      </c>
      <c r="F29" s="16" t="s">
        <v>22</v>
      </c>
      <c r="G29" s="16" t="s">
        <v>16</v>
      </c>
      <c r="H29" s="16" t="s">
        <v>18</v>
      </c>
      <c r="I29" s="18"/>
      <c r="J29" s="42">
        <v>115</v>
      </c>
      <c r="K29" s="16">
        <f>"80,1378"</f>
        <v>0</v>
      </c>
      <c r="L29" s="16"/>
    </row>
    <row r="30" spans="1:12" ht="14.25">
      <c r="A30" s="24" t="s">
        <v>621</v>
      </c>
      <c r="B30" s="24" t="s">
        <v>622</v>
      </c>
      <c r="C30" s="24" t="s">
        <v>39</v>
      </c>
      <c r="D30" s="24">
        <f>"0,6885"</f>
        <v>0</v>
      </c>
      <c r="E30" s="24" t="s">
        <v>623</v>
      </c>
      <c r="F30" s="24" t="s">
        <v>78</v>
      </c>
      <c r="G30" s="24" t="s">
        <v>337</v>
      </c>
      <c r="H30" s="25"/>
      <c r="I30" s="25"/>
      <c r="J30" s="43">
        <v>255</v>
      </c>
      <c r="K30" s="24">
        <f>"175,5802"</f>
        <v>0</v>
      </c>
      <c r="L30" s="24"/>
    </row>
    <row r="31" spans="1:12" ht="14.25">
      <c r="A31" s="24" t="s">
        <v>1016</v>
      </c>
      <c r="B31" s="24" t="s">
        <v>1017</v>
      </c>
      <c r="C31" s="24" t="s">
        <v>1015</v>
      </c>
      <c r="D31" s="24">
        <f>"0,6969"</f>
        <v>0</v>
      </c>
      <c r="E31" s="24" t="s">
        <v>15</v>
      </c>
      <c r="F31" s="25" t="s">
        <v>40</v>
      </c>
      <c r="G31" s="24" t="s">
        <v>40</v>
      </c>
      <c r="H31" s="24" t="s">
        <v>1018</v>
      </c>
      <c r="I31" s="25"/>
      <c r="J31" s="43">
        <v>242.5</v>
      </c>
      <c r="K31" s="24">
        <f>"168,9861"</f>
        <v>0</v>
      </c>
      <c r="L31" s="24"/>
    </row>
    <row r="32" spans="1:12" ht="14.25">
      <c r="A32" s="24" t="s">
        <v>1019</v>
      </c>
      <c r="B32" s="24" t="s">
        <v>1020</v>
      </c>
      <c r="C32" s="24" t="s">
        <v>567</v>
      </c>
      <c r="D32" s="24">
        <f>"0,7110"</f>
        <v>0</v>
      </c>
      <c r="E32" s="24" t="s">
        <v>536</v>
      </c>
      <c r="F32" s="24" t="s">
        <v>41</v>
      </c>
      <c r="G32" s="25" t="s">
        <v>68</v>
      </c>
      <c r="H32" s="25" t="s">
        <v>68</v>
      </c>
      <c r="I32" s="25"/>
      <c r="J32" s="43">
        <v>240</v>
      </c>
      <c r="K32" s="24">
        <f>"170,6280"</f>
        <v>0</v>
      </c>
      <c r="L32" s="24"/>
    </row>
    <row r="33" spans="1:12" ht="14.25">
      <c r="A33" s="24" t="s">
        <v>1021</v>
      </c>
      <c r="B33" s="24" t="s">
        <v>1022</v>
      </c>
      <c r="C33" s="24" t="s">
        <v>1023</v>
      </c>
      <c r="D33" s="24">
        <f>"0,7283"</f>
        <v>0</v>
      </c>
      <c r="E33" s="24" t="s">
        <v>15</v>
      </c>
      <c r="F33" s="24" t="s">
        <v>92</v>
      </c>
      <c r="G33" s="25" t="s">
        <v>46</v>
      </c>
      <c r="H33" s="24" t="s">
        <v>46</v>
      </c>
      <c r="I33" s="25"/>
      <c r="J33" s="43">
        <v>170</v>
      </c>
      <c r="K33" s="24">
        <f>"123,8107"</f>
        <v>0</v>
      </c>
      <c r="L33" s="24"/>
    </row>
    <row r="34" spans="1:12" ht="14.25">
      <c r="A34" s="24" t="s">
        <v>1024</v>
      </c>
      <c r="B34" s="24" t="s">
        <v>1025</v>
      </c>
      <c r="C34" s="24" t="s">
        <v>1026</v>
      </c>
      <c r="D34" s="24">
        <f>"0,9280"</f>
        <v>0</v>
      </c>
      <c r="E34" s="24" t="s">
        <v>1027</v>
      </c>
      <c r="F34" s="24" t="s">
        <v>88</v>
      </c>
      <c r="G34" s="24" t="s">
        <v>83</v>
      </c>
      <c r="H34" s="25" t="s">
        <v>78</v>
      </c>
      <c r="I34" s="25"/>
      <c r="J34" s="43">
        <v>225</v>
      </c>
      <c r="K34" s="24">
        <f>"208,8080"</f>
        <v>0</v>
      </c>
      <c r="L34" s="24"/>
    </row>
    <row r="35" spans="1:12" ht="14.25">
      <c r="A35" s="24" t="s">
        <v>639</v>
      </c>
      <c r="B35" s="24" t="s">
        <v>640</v>
      </c>
      <c r="C35" s="24" t="s">
        <v>641</v>
      </c>
      <c r="D35" s="24">
        <f>"1,1434"</f>
        <v>0</v>
      </c>
      <c r="E35" s="24" t="s">
        <v>412</v>
      </c>
      <c r="F35" s="24" t="s">
        <v>30</v>
      </c>
      <c r="G35" s="24" t="s">
        <v>36</v>
      </c>
      <c r="H35" s="24" t="s">
        <v>120</v>
      </c>
      <c r="I35" s="25"/>
      <c r="J35" s="43">
        <v>145</v>
      </c>
      <c r="K35" s="24">
        <f>"165,7988"</f>
        <v>0</v>
      </c>
      <c r="L35" s="24"/>
    </row>
    <row r="36" spans="1:12" ht="14.25">
      <c r="A36" s="20" t="s">
        <v>1028</v>
      </c>
      <c r="B36" s="20" t="s">
        <v>1029</v>
      </c>
      <c r="C36" s="20" t="s">
        <v>1030</v>
      </c>
      <c r="D36" s="20">
        <f>"1,2639"</f>
        <v>0</v>
      </c>
      <c r="E36" s="20" t="s">
        <v>15</v>
      </c>
      <c r="F36" s="20" t="s">
        <v>54</v>
      </c>
      <c r="G36" s="20" t="s">
        <v>486</v>
      </c>
      <c r="H36" s="20" t="s">
        <v>1031</v>
      </c>
      <c r="I36" s="21"/>
      <c r="J36" s="44">
        <v>167.5</v>
      </c>
      <c r="K36" s="20">
        <f>"211,7087"</f>
        <v>0</v>
      </c>
      <c r="L36" s="20"/>
    </row>
    <row r="38" spans="1:11" ht="16.5">
      <c r="A38" s="23" t="s">
        <v>49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2" ht="14.25">
      <c r="A39" s="16" t="s">
        <v>1032</v>
      </c>
      <c r="B39" s="16" t="s">
        <v>1033</v>
      </c>
      <c r="C39" s="16" t="s">
        <v>671</v>
      </c>
      <c r="D39" s="16">
        <f>"0,6487"</f>
        <v>0</v>
      </c>
      <c r="E39" s="16" t="s">
        <v>67</v>
      </c>
      <c r="F39" s="16" t="s">
        <v>41</v>
      </c>
      <c r="G39" s="16" t="s">
        <v>337</v>
      </c>
      <c r="H39" s="18" t="s">
        <v>79</v>
      </c>
      <c r="I39" s="18"/>
      <c r="J39" s="42">
        <v>255</v>
      </c>
      <c r="K39" s="16">
        <f>"165,4185"</f>
        <v>0</v>
      </c>
      <c r="L39" s="16"/>
    </row>
    <row r="40" spans="1:12" ht="14.25">
      <c r="A40" s="24" t="s">
        <v>1034</v>
      </c>
      <c r="B40" s="24" t="s">
        <v>1035</v>
      </c>
      <c r="C40" s="24" t="s">
        <v>1036</v>
      </c>
      <c r="D40" s="24">
        <f>"0,6446"</f>
        <v>0</v>
      </c>
      <c r="E40" s="24" t="s">
        <v>67</v>
      </c>
      <c r="F40" s="25" t="s">
        <v>88</v>
      </c>
      <c r="G40" s="25" t="s">
        <v>83</v>
      </c>
      <c r="H40" s="24" t="s">
        <v>83</v>
      </c>
      <c r="I40" s="25"/>
      <c r="J40" s="43">
        <v>225</v>
      </c>
      <c r="K40" s="24">
        <f>"145,0350"</f>
        <v>0</v>
      </c>
      <c r="L40" s="24"/>
    </row>
    <row r="41" spans="1:12" ht="14.25">
      <c r="A41" s="24" t="s">
        <v>1037</v>
      </c>
      <c r="B41" s="24" t="s">
        <v>1038</v>
      </c>
      <c r="C41" s="24" t="s">
        <v>1039</v>
      </c>
      <c r="D41" s="24">
        <f>"0,7214"</f>
        <v>0</v>
      </c>
      <c r="E41" s="24" t="s">
        <v>1040</v>
      </c>
      <c r="F41" s="24" t="s">
        <v>78</v>
      </c>
      <c r="G41" s="24" t="s">
        <v>42</v>
      </c>
      <c r="H41" s="24" t="s">
        <v>68</v>
      </c>
      <c r="I41" s="25"/>
      <c r="J41" s="43">
        <v>260</v>
      </c>
      <c r="K41" s="24">
        <f>"187,5761"</f>
        <v>0</v>
      </c>
      <c r="L41" s="24"/>
    </row>
    <row r="42" spans="1:12" ht="14.25">
      <c r="A42" s="20" t="s">
        <v>679</v>
      </c>
      <c r="B42" s="20" t="s">
        <v>680</v>
      </c>
      <c r="C42" s="20" t="s">
        <v>681</v>
      </c>
      <c r="D42" s="20">
        <f>"0,9555"</f>
        <v>0</v>
      </c>
      <c r="E42" s="20" t="s">
        <v>15</v>
      </c>
      <c r="F42" s="20" t="s">
        <v>54</v>
      </c>
      <c r="G42" s="20" t="s">
        <v>486</v>
      </c>
      <c r="H42" s="20" t="s">
        <v>1031</v>
      </c>
      <c r="I42" s="21"/>
      <c r="J42" s="44">
        <v>167.5</v>
      </c>
      <c r="K42" s="20">
        <f>"160,0425"</f>
        <v>0</v>
      </c>
      <c r="L42" s="20"/>
    </row>
    <row r="44" spans="1:11" ht="16.5">
      <c r="A44" s="23" t="s">
        <v>63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2" ht="14.25">
      <c r="A45" s="16" t="s">
        <v>1041</v>
      </c>
      <c r="B45" s="16" t="s">
        <v>1042</v>
      </c>
      <c r="C45" s="16" t="s">
        <v>1043</v>
      </c>
      <c r="D45" s="16">
        <f>"0,6255"</f>
        <v>0</v>
      </c>
      <c r="E45" s="16" t="s">
        <v>15</v>
      </c>
      <c r="F45" s="16" t="s">
        <v>131</v>
      </c>
      <c r="G45" s="18" t="s">
        <v>87</v>
      </c>
      <c r="H45" s="18" t="s">
        <v>87</v>
      </c>
      <c r="I45" s="18"/>
      <c r="J45" s="19" t="s">
        <v>1044</v>
      </c>
      <c r="K45" s="16" t="s">
        <v>1045</v>
      </c>
      <c r="L45" s="16"/>
    </row>
    <row r="46" spans="1:12" ht="14.25">
      <c r="A46" s="24" t="s">
        <v>1046</v>
      </c>
      <c r="B46" s="24" t="s">
        <v>1047</v>
      </c>
      <c r="C46" s="24" t="s">
        <v>698</v>
      </c>
      <c r="D46" s="24">
        <f>"0,6230"</f>
        <v>0</v>
      </c>
      <c r="E46" s="24" t="s">
        <v>536</v>
      </c>
      <c r="F46" s="24" t="s">
        <v>87</v>
      </c>
      <c r="G46" s="24" t="s">
        <v>40</v>
      </c>
      <c r="H46" s="25"/>
      <c r="I46" s="25"/>
      <c r="J46" s="43">
        <v>220</v>
      </c>
      <c r="K46" s="24">
        <f>"137,0600"</f>
        <v>0</v>
      </c>
      <c r="L46" s="24"/>
    </row>
    <row r="47" spans="1:12" ht="14.25">
      <c r="A47" s="24" t="s">
        <v>1048</v>
      </c>
      <c r="B47" s="24" t="s">
        <v>1049</v>
      </c>
      <c r="C47" s="24" t="s">
        <v>428</v>
      </c>
      <c r="D47" s="24">
        <f>"0,6122"</f>
        <v>0</v>
      </c>
      <c r="E47" s="24" t="s">
        <v>536</v>
      </c>
      <c r="F47" s="24" t="s">
        <v>40</v>
      </c>
      <c r="G47" s="24" t="s">
        <v>42</v>
      </c>
      <c r="H47" s="24" t="s">
        <v>68</v>
      </c>
      <c r="I47" s="25"/>
      <c r="J47" s="43">
        <v>260</v>
      </c>
      <c r="K47" s="24">
        <f>"159,1850"</f>
        <v>0</v>
      </c>
      <c r="L47" s="24"/>
    </row>
    <row r="48" spans="1:12" ht="14.25">
      <c r="A48" s="24" t="s">
        <v>1050</v>
      </c>
      <c r="B48" s="24" t="s">
        <v>1051</v>
      </c>
      <c r="C48" s="24" t="s">
        <v>1052</v>
      </c>
      <c r="D48" s="24">
        <f>"0,6188"</f>
        <v>0</v>
      </c>
      <c r="E48" s="24" t="s">
        <v>15</v>
      </c>
      <c r="F48" s="24" t="s">
        <v>131</v>
      </c>
      <c r="G48" s="24" t="s">
        <v>74</v>
      </c>
      <c r="H48" s="24" t="s">
        <v>294</v>
      </c>
      <c r="I48" s="25"/>
      <c r="J48" s="43">
        <v>227.5</v>
      </c>
      <c r="K48" s="24">
        <f>"140,7884"</f>
        <v>0</v>
      </c>
      <c r="L48" s="24"/>
    </row>
    <row r="49" spans="1:12" ht="14.25">
      <c r="A49" s="24" t="s">
        <v>1053</v>
      </c>
      <c r="B49" s="24" t="s">
        <v>1054</v>
      </c>
      <c r="C49" s="24" t="s">
        <v>1055</v>
      </c>
      <c r="D49" s="24">
        <f>"0,7062"</f>
        <v>0</v>
      </c>
      <c r="E49" s="24" t="s">
        <v>15</v>
      </c>
      <c r="F49" s="24" t="s">
        <v>87</v>
      </c>
      <c r="G49" s="24" t="s">
        <v>83</v>
      </c>
      <c r="H49" s="25"/>
      <c r="I49" s="25"/>
      <c r="J49" s="43">
        <v>225</v>
      </c>
      <c r="K49" s="24">
        <f>"158,8968"</f>
        <v>0</v>
      </c>
      <c r="L49" s="24"/>
    </row>
    <row r="50" spans="1:12" ht="14.25">
      <c r="A50" s="20" t="s">
        <v>741</v>
      </c>
      <c r="B50" s="20" t="s">
        <v>742</v>
      </c>
      <c r="C50" s="20" t="s">
        <v>743</v>
      </c>
      <c r="D50" s="20">
        <f>"1,0658"</f>
        <v>0</v>
      </c>
      <c r="E50" s="20" t="s">
        <v>15</v>
      </c>
      <c r="F50" s="20" t="s">
        <v>46</v>
      </c>
      <c r="G50" s="20" t="s">
        <v>47</v>
      </c>
      <c r="H50" s="21" t="s">
        <v>131</v>
      </c>
      <c r="I50" s="21"/>
      <c r="J50" s="44">
        <v>180</v>
      </c>
      <c r="K50" s="20">
        <f>"191,8357"</f>
        <v>0</v>
      </c>
      <c r="L50" s="20"/>
    </row>
    <row r="52" spans="1:11" ht="16.5">
      <c r="A52" s="23" t="s">
        <v>69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2" ht="14.25">
      <c r="A53" s="16" t="s">
        <v>1056</v>
      </c>
      <c r="B53" s="16" t="s">
        <v>1057</v>
      </c>
      <c r="C53" s="16" t="s">
        <v>1058</v>
      </c>
      <c r="D53" s="16">
        <f>"0,5818"</f>
        <v>0</v>
      </c>
      <c r="E53" s="16" t="s">
        <v>1059</v>
      </c>
      <c r="F53" s="16" t="s">
        <v>131</v>
      </c>
      <c r="G53" s="16" t="s">
        <v>88</v>
      </c>
      <c r="H53" s="16" t="s">
        <v>78</v>
      </c>
      <c r="I53" s="18"/>
      <c r="J53" s="42">
        <v>230</v>
      </c>
      <c r="K53" s="16">
        <f>"133,8140"</f>
        <v>0</v>
      </c>
      <c r="L53" s="16"/>
    </row>
    <row r="54" spans="1:12" ht="14.25">
      <c r="A54" s="24" t="s">
        <v>1060</v>
      </c>
      <c r="B54" s="24" t="s">
        <v>1061</v>
      </c>
      <c r="C54" s="24" t="s">
        <v>1062</v>
      </c>
      <c r="D54" s="24">
        <f>"0,5871"</f>
        <v>0</v>
      </c>
      <c r="E54" s="24" t="s">
        <v>223</v>
      </c>
      <c r="F54" s="25" t="s">
        <v>370</v>
      </c>
      <c r="G54" s="25" t="s">
        <v>362</v>
      </c>
      <c r="H54" s="24" t="s">
        <v>362</v>
      </c>
      <c r="I54" s="25"/>
      <c r="J54" s="43">
        <v>325</v>
      </c>
      <c r="K54" s="24">
        <f>"190,8237"</f>
        <v>0</v>
      </c>
      <c r="L54" s="24"/>
    </row>
    <row r="55" spans="1:12" ht="14.25">
      <c r="A55" s="24" t="s">
        <v>1063</v>
      </c>
      <c r="B55" s="24" t="s">
        <v>1064</v>
      </c>
      <c r="C55" s="24" t="s">
        <v>1065</v>
      </c>
      <c r="D55" s="24">
        <f>"0,5949"</f>
        <v>0</v>
      </c>
      <c r="E55" s="24" t="s">
        <v>223</v>
      </c>
      <c r="F55" s="24" t="s">
        <v>370</v>
      </c>
      <c r="G55" s="25" t="s">
        <v>1066</v>
      </c>
      <c r="H55" s="25" t="s">
        <v>1066</v>
      </c>
      <c r="I55" s="25"/>
      <c r="J55" s="26" t="s">
        <v>1067</v>
      </c>
      <c r="K55" s="24" t="s">
        <v>1068</v>
      </c>
      <c r="L55" s="24"/>
    </row>
    <row r="56" spans="1:12" ht="14.25">
      <c r="A56" s="24" t="s">
        <v>1069</v>
      </c>
      <c r="B56" s="24" t="s">
        <v>1070</v>
      </c>
      <c r="C56" s="24" t="s">
        <v>86</v>
      </c>
      <c r="D56" s="24">
        <f>"0,5813"</f>
        <v>0</v>
      </c>
      <c r="E56" s="24" t="s">
        <v>536</v>
      </c>
      <c r="F56" s="24" t="s">
        <v>68</v>
      </c>
      <c r="G56" s="24" t="s">
        <v>79</v>
      </c>
      <c r="H56" s="25" t="s">
        <v>283</v>
      </c>
      <c r="I56" s="25"/>
      <c r="J56" s="43">
        <v>270</v>
      </c>
      <c r="K56" s="24">
        <f>"156,9510"</f>
        <v>0</v>
      </c>
      <c r="L56" s="24"/>
    </row>
    <row r="57" spans="1:12" ht="14.25">
      <c r="A57" s="24" t="s">
        <v>1071</v>
      </c>
      <c r="B57" s="24" t="s">
        <v>1072</v>
      </c>
      <c r="C57" s="24" t="s">
        <v>1073</v>
      </c>
      <c r="D57" s="24">
        <f>"0,5958"</f>
        <v>0</v>
      </c>
      <c r="E57" s="24" t="s">
        <v>536</v>
      </c>
      <c r="F57" s="24" t="s">
        <v>78</v>
      </c>
      <c r="G57" s="24" t="s">
        <v>42</v>
      </c>
      <c r="H57" s="25" t="s">
        <v>1074</v>
      </c>
      <c r="I57" s="25"/>
      <c r="J57" s="43">
        <v>250</v>
      </c>
      <c r="K57" s="24">
        <f>"148,9625"</f>
        <v>0</v>
      </c>
      <c r="L57" s="24"/>
    </row>
    <row r="58" spans="1:12" ht="14.25">
      <c r="A58" s="24" t="s">
        <v>1075</v>
      </c>
      <c r="B58" s="24" t="s">
        <v>1076</v>
      </c>
      <c r="C58" s="24" t="s">
        <v>1077</v>
      </c>
      <c r="D58" s="24">
        <f>"0,5935"</f>
        <v>0</v>
      </c>
      <c r="E58" s="24" t="s">
        <v>15</v>
      </c>
      <c r="F58" s="25" t="s">
        <v>40</v>
      </c>
      <c r="G58" s="25" t="s">
        <v>41</v>
      </c>
      <c r="H58" s="24" t="s">
        <v>42</v>
      </c>
      <c r="I58" s="25"/>
      <c r="J58" s="43">
        <v>250</v>
      </c>
      <c r="K58" s="24">
        <f>"148,3625"</f>
        <v>0</v>
      </c>
      <c r="L58" s="24"/>
    </row>
    <row r="59" spans="1:12" ht="14.25">
      <c r="A59" s="24" t="s">
        <v>1078</v>
      </c>
      <c r="B59" s="24" t="s">
        <v>1079</v>
      </c>
      <c r="C59" s="24" t="s">
        <v>1080</v>
      </c>
      <c r="D59" s="24">
        <f>"0,5900"</f>
        <v>0</v>
      </c>
      <c r="E59" s="24" t="s">
        <v>228</v>
      </c>
      <c r="F59" s="25" t="s">
        <v>370</v>
      </c>
      <c r="G59" s="25"/>
      <c r="H59" s="25"/>
      <c r="I59" s="25"/>
      <c r="J59" s="43">
        <v>0</v>
      </c>
      <c r="K59" s="24">
        <f>"0,0000"</f>
        <v>0</v>
      </c>
      <c r="L59" s="24"/>
    </row>
    <row r="60" spans="1:12" ht="14.25">
      <c r="A60" s="24" t="s">
        <v>1081</v>
      </c>
      <c r="B60" s="24" t="s">
        <v>1082</v>
      </c>
      <c r="C60" s="24" t="s">
        <v>1083</v>
      </c>
      <c r="D60" s="24">
        <f>"0,7708"</f>
        <v>0</v>
      </c>
      <c r="E60" s="24" t="s">
        <v>15</v>
      </c>
      <c r="F60" s="24" t="s">
        <v>42</v>
      </c>
      <c r="G60" s="25" t="s">
        <v>282</v>
      </c>
      <c r="H60" s="25"/>
      <c r="I60" s="25"/>
      <c r="J60" s="26" t="s">
        <v>1084</v>
      </c>
      <c r="K60" s="24" t="s">
        <v>1085</v>
      </c>
      <c r="L60" s="24"/>
    </row>
    <row r="61" spans="1:12" ht="14.25">
      <c r="A61" s="20" t="s">
        <v>1086</v>
      </c>
      <c r="B61" s="20" t="s">
        <v>1087</v>
      </c>
      <c r="C61" s="20" t="s">
        <v>770</v>
      </c>
      <c r="D61" s="20">
        <f>"0,8756"</f>
        <v>0</v>
      </c>
      <c r="E61" s="20" t="s">
        <v>15</v>
      </c>
      <c r="F61" s="20" t="s">
        <v>54</v>
      </c>
      <c r="G61" s="21" t="s">
        <v>250</v>
      </c>
      <c r="H61" s="21" t="s">
        <v>250</v>
      </c>
      <c r="I61" s="21"/>
      <c r="J61" s="22" t="s">
        <v>895</v>
      </c>
      <c r="K61" s="20" t="s">
        <v>1088</v>
      </c>
      <c r="L61" s="20"/>
    </row>
    <row r="63" spans="1:11" ht="16.5">
      <c r="A63" s="23" t="s">
        <v>94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2" ht="14.25">
      <c r="A64" s="16" t="s">
        <v>1089</v>
      </c>
      <c r="B64" s="16" t="s">
        <v>1090</v>
      </c>
      <c r="C64" s="16" t="s">
        <v>447</v>
      </c>
      <c r="D64" s="16">
        <f>"0,5671"</f>
        <v>0</v>
      </c>
      <c r="E64" s="16" t="s">
        <v>228</v>
      </c>
      <c r="F64" s="16" t="s">
        <v>42</v>
      </c>
      <c r="G64" s="16" t="s">
        <v>68</v>
      </c>
      <c r="H64" s="18" t="s">
        <v>333</v>
      </c>
      <c r="I64" s="18"/>
      <c r="J64" s="42">
        <v>260</v>
      </c>
      <c r="K64" s="16">
        <f>"147,4460"</f>
        <v>0</v>
      </c>
      <c r="L64" s="16"/>
    </row>
    <row r="65" spans="1:12" ht="14.25">
      <c r="A65" s="24" t="s">
        <v>291</v>
      </c>
      <c r="B65" s="24" t="s">
        <v>292</v>
      </c>
      <c r="C65" s="24" t="s">
        <v>293</v>
      </c>
      <c r="D65" s="24">
        <f>"0,5627"</f>
        <v>0</v>
      </c>
      <c r="E65" s="24" t="s">
        <v>15</v>
      </c>
      <c r="F65" s="24" t="s">
        <v>104</v>
      </c>
      <c r="G65" s="24" t="s">
        <v>1091</v>
      </c>
      <c r="H65" s="25" t="s">
        <v>353</v>
      </c>
      <c r="I65" s="25"/>
      <c r="J65" s="43">
        <v>297.5</v>
      </c>
      <c r="K65" s="24">
        <f>"167,3884"</f>
        <v>0</v>
      </c>
      <c r="L65" s="24"/>
    </row>
    <row r="66" spans="1:12" ht="14.25">
      <c r="A66" s="24" t="s">
        <v>1092</v>
      </c>
      <c r="B66" s="24" t="s">
        <v>1093</v>
      </c>
      <c r="C66" s="24" t="s">
        <v>1094</v>
      </c>
      <c r="D66" s="24">
        <f>"0,5644"</f>
        <v>0</v>
      </c>
      <c r="E66" s="24" t="s">
        <v>223</v>
      </c>
      <c r="F66" s="25" t="s">
        <v>472</v>
      </c>
      <c r="G66" s="24" t="s">
        <v>472</v>
      </c>
      <c r="H66" s="25"/>
      <c r="I66" s="25"/>
      <c r="J66" s="43">
        <v>340</v>
      </c>
      <c r="K66" s="24">
        <f>"191,8960"</f>
        <v>0</v>
      </c>
      <c r="L66" s="24"/>
    </row>
    <row r="67" spans="1:12" ht="14.25">
      <c r="A67" s="24" t="s">
        <v>1095</v>
      </c>
      <c r="B67" s="24" t="s">
        <v>1096</v>
      </c>
      <c r="C67" s="24" t="s">
        <v>1097</v>
      </c>
      <c r="D67" s="24">
        <f>"0,5677"</f>
        <v>0</v>
      </c>
      <c r="E67" s="24" t="s">
        <v>223</v>
      </c>
      <c r="F67" s="24" t="s">
        <v>104</v>
      </c>
      <c r="G67" s="25" t="s">
        <v>353</v>
      </c>
      <c r="H67" s="25" t="s">
        <v>105</v>
      </c>
      <c r="I67" s="25"/>
      <c r="J67" s="43">
        <v>290</v>
      </c>
      <c r="K67" s="24">
        <f>"164,6185"</f>
        <v>0</v>
      </c>
      <c r="L67" s="24"/>
    </row>
    <row r="68" spans="1:12" ht="14.25">
      <c r="A68" s="24" t="s">
        <v>1098</v>
      </c>
      <c r="B68" s="24" t="s">
        <v>1099</v>
      </c>
      <c r="C68" s="24" t="s">
        <v>447</v>
      </c>
      <c r="D68" s="24">
        <f>"0,5671"</f>
        <v>0</v>
      </c>
      <c r="E68" s="24" t="s">
        <v>15</v>
      </c>
      <c r="F68" s="24" t="s">
        <v>79</v>
      </c>
      <c r="G68" s="25" t="s">
        <v>353</v>
      </c>
      <c r="H68" s="25" t="s">
        <v>353</v>
      </c>
      <c r="I68" s="25"/>
      <c r="J68" s="26" t="s">
        <v>1100</v>
      </c>
      <c r="K68" s="24" t="s">
        <v>1101</v>
      </c>
      <c r="L68" s="24"/>
    </row>
    <row r="69" spans="1:12" ht="14.25">
      <c r="A69" s="24" t="s">
        <v>1102</v>
      </c>
      <c r="B69" s="24" t="s">
        <v>1103</v>
      </c>
      <c r="C69" s="24" t="s">
        <v>1104</v>
      </c>
      <c r="D69" s="24">
        <f>"0,5952"</f>
        <v>0</v>
      </c>
      <c r="E69" s="24" t="s">
        <v>462</v>
      </c>
      <c r="F69" s="24" t="s">
        <v>47</v>
      </c>
      <c r="G69" s="25" t="s">
        <v>87</v>
      </c>
      <c r="H69" s="25" t="s">
        <v>87</v>
      </c>
      <c r="I69" s="25"/>
      <c r="J69" s="26" t="s">
        <v>481</v>
      </c>
      <c r="K69" s="24" t="s">
        <v>1105</v>
      </c>
      <c r="L69" s="24"/>
    </row>
    <row r="70" spans="1:12" ht="14.25">
      <c r="A70" s="24" t="s">
        <v>1106</v>
      </c>
      <c r="B70" s="24" t="s">
        <v>1107</v>
      </c>
      <c r="C70" s="24" t="s">
        <v>1108</v>
      </c>
      <c r="D70" s="24">
        <f>"0,6353"</f>
        <v>0</v>
      </c>
      <c r="E70" s="24" t="s">
        <v>232</v>
      </c>
      <c r="F70" s="24" t="s">
        <v>40</v>
      </c>
      <c r="G70" s="24" t="s">
        <v>316</v>
      </c>
      <c r="H70" s="25"/>
      <c r="I70" s="25"/>
      <c r="J70" s="43">
        <v>235</v>
      </c>
      <c r="K70" s="24">
        <f>"149,3020"</f>
        <v>0</v>
      </c>
      <c r="L70" s="24"/>
    </row>
    <row r="71" spans="1:12" ht="14.25">
      <c r="A71" s="24" t="s">
        <v>1109</v>
      </c>
      <c r="B71" s="24" t="s">
        <v>1110</v>
      </c>
      <c r="C71" s="24" t="s">
        <v>1111</v>
      </c>
      <c r="D71" s="24">
        <f>"0,8183"</f>
        <v>0</v>
      </c>
      <c r="E71" s="24" t="s">
        <v>536</v>
      </c>
      <c r="F71" s="24" t="s">
        <v>486</v>
      </c>
      <c r="G71" s="25" t="s">
        <v>93</v>
      </c>
      <c r="H71" s="25" t="s">
        <v>93</v>
      </c>
      <c r="I71" s="25"/>
      <c r="J71" s="26" t="s">
        <v>1112</v>
      </c>
      <c r="K71" s="24" t="s">
        <v>1113</v>
      </c>
      <c r="L71" s="24"/>
    </row>
    <row r="72" spans="1:12" ht="14.25">
      <c r="A72" s="20" t="s">
        <v>325</v>
      </c>
      <c r="B72" s="20" t="s">
        <v>326</v>
      </c>
      <c r="C72" s="20" t="s">
        <v>302</v>
      </c>
      <c r="D72" s="20">
        <f>"1,0579"</f>
        <v>0</v>
      </c>
      <c r="E72" s="20" t="s">
        <v>327</v>
      </c>
      <c r="F72" s="20" t="s">
        <v>30</v>
      </c>
      <c r="G72" s="21"/>
      <c r="H72" s="21"/>
      <c r="I72" s="21"/>
      <c r="J72" s="22" t="s">
        <v>634</v>
      </c>
      <c r="K72" s="20" t="s">
        <v>1114</v>
      </c>
      <c r="L72" s="20"/>
    </row>
    <row r="74" spans="1:11" ht="16.5">
      <c r="A74" s="23" t="s">
        <v>127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2" ht="14.25">
      <c r="A75" s="16" t="s">
        <v>1115</v>
      </c>
      <c r="B75" s="16" t="s">
        <v>1116</v>
      </c>
      <c r="C75" s="16" t="s">
        <v>1117</v>
      </c>
      <c r="D75" s="16">
        <f>"0,5477"</f>
        <v>0</v>
      </c>
      <c r="E75" s="16" t="s">
        <v>462</v>
      </c>
      <c r="F75" s="18" t="s">
        <v>68</v>
      </c>
      <c r="G75" s="18" t="s">
        <v>68</v>
      </c>
      <c r="H75" s="16" t="s">
        <v>68</v>
      </c>
      <c r="I75" s="18" t="s">
        <v>280</v>
      </c>
      <c r="J75" s="42">
        <v>260</v>
      </c>
      <c r="K75" s="16">
        <f>"142,4150"</f>
        <v>0</v>
      </c>
      <c r="L75" s="16"/>
    </row>
    <row r="76" spans="1:12" ht="14.25">
      <c r="A76" s="24" t="s">
        <v>1118</v>
      </c>
      <c r="B76" s="24" t="s">
        <v>1119</v>
      </c>
      <c r="C76" s="24" t="s">
        <v>1120</v>
      </c>
      <c r="D76" s="24">
        <f>"0,5524"</f>
        <v>0</v>
      </c>
      <c r="E76" s="24" t="s">
        <v>67</v>
      </c>
      <c r="F76" s="24" t="s">
        <v>333</v>
      </c>
      <c r="G76" s="24" t="s">
        <v>353</v>
      </c>
      <c r="H76" s="25" t="s">
        <v>98</v>
      </c>
      <c r="I76" s="25"/>
      <c r="J76" s="43">
        <v>300</v>
      </c>
      <c r="K76" s="24">
        <f>"165,7200"</f>
        <v>0</v>
      </c>
      <c r="L76" s="24"/>
    </row>
    <row r="77" spans="1:12" ht="14.25">
      <c r="A77" s="24" t="s">
        <v>1121</v>
      </c>
      <c r="B77" s="24" t="s">
        <v>1122</v>
      </c>
      <c r="C77" s="24" t="s">
        <v>1123</v>
      </c>
      <c r="D77" s="24">
        <f>"0,5527"</f>
        <v>0</v>
      </c>
      <c r="E77" s="24" t="s">
        <v>223</v>
      </c>
      <c r="F77" s="24" t="s">
        <v>353</v>
      </c>
      <c r="G77" s="24" t="s">
        <v>139</v>
      </c>
      <c r="H77" s="25" t="s">
        <v>99</v>
      </c>
      <c r="I77" s="25"/>
      <c r="J77" s="43">
        <v>322.5</v>
      </c>
      <c r="K77" s="24">
        <f>"178,2457"</f>
        <v>0</v>
      </c>
      <c r="L77" s="24"/>
    </row>
    <row r="78" spans="1:12" ht="14.25">
      <c r="A78" s="24" t="s">
        <v>832</v>
      </c>
      <c r="B78" s="24" t="s">
        <v>1124</v>
      </c>
      <c r="C78" s="24" t="s">
        <v>834</v>
      </c>
      <c r="D78" s="24">
        <f>"0,5534"</f>
        <v>0</v>
      </c>
      <c r="E78" s="24" t="s">
        <v>15</v>
      </c>
      <c r="F78" s="25" t="s">
        <v>353</v>
      </c>
      <c r="G78" s="24" t="s">
        <v>441</v>
      </c>
      <c r="H78" s="25" t="s">
        <v>106</v>
      </c>
      <c r="I78" s="25"/>
      <c r="J78" s="43">
        <v>302.5</v>
      </c>
      <c r="K78" s="24">
        <f>"167,4035"</f>
        <v>0</v>
      </c>
      <c r="L78" s="24"/>
    </row>
    <row r="79" spans="1:12" ht="14.25">
      <c r="A79" s="24" t="s">
        <v>1125</v>
      </c>
      <c r="B79" s="24" t="s">
        <v>1126</v>
      </c>
      <c r="C79" s="24" t="s">
        <v>1127</v>
      </c>
      <c r="D79" s="24">
        <f>"0,5490"</f>
        <v>0</v>
      </c>
      <c r="E79" s="24" t="s">
        <v>223</v>
      </c>
      <c r="F79" s="25" t="s">
        <v>333</v>
      </c>
      <c r="G79" s="24" t="s">
        <v>333</v>
      </c>
      <c r="H79" s="25" t="s">
        <v>298</v>
      </c>
      <c r="I79" s="25"/>
      <c r="J79" s="43">
        <v>280</v>
      </c>
      <c r="K79" s="24">
        <f>"153,7340"</f>
        <v>0</v>
      </c>
      <c r="L79" s="24"/>
    </row>
    <row r="80" spans="1:12" ht="14.25">
      <c r="A80" s="24" t="s">
        <v>1128</v>
      </c>
      <c r="B80" s="24" t="s">
        <v>1129</v>
      </c>
      <c r="C80" s="24" t="s">
        <v>1130</v>
      </c>
      <c r="D80" s="24">
        <f>"0,5588"</f>
        <v>0</v>
      </c>
      <c r="E80" s="24" t="s">
        <v>15</v>
      </c>
      <c r="F80" s="25" t="s">
        <v>100</v>
      </c>
      <c r="G80" s="24" t="s">
        <v>100</v>
      </c>
      <c r="H80" s="25" t="s">
        <v>1131</v>
      </c>
      <c r="I80" s="25"/>
      <c r="J80" s="43">
        <v>335</v>
      </c>
      <c r="K80" s="24">
        <f>"187,1921"</f>
        <v>0</v>
      </c>
      <c r="L80" s="24"/>
    </row>
    <row r="81" spans="1:12" ht="14.25">
      <c r="A81" s="24" t="s">
        <v>832</v>
      </c>
      <c r="B81" s="24" t="s">
        <v>833</v>
      </c>
      <c r="C81" s="24" t="s">
        <v>834</v>
      </c>
      <c r="D81" s="24">
        <f>"0,5645"</f>
        <v>0</v>
      </c>
      <c r="E81" s="24" t="s">
        <v>15</v>
      </c>
      <c r="F81" s="25" t="s">
        <v>353</v>
      </c>
      <c r="G81" s="24" t="s">
        <v>441</v>
      </c>
      <c r="H81" s="25" t="s">
        <v>106</v>
      </c>
      <c r="I81" s="25"/>
      <c r="J81" s="43">
        <v>302.5</v>
      </c>
      <c r="K81" s="24">
        <f>"170,7516"</f>
        <v>0</v>
      </c>
      <c r="L81" s="24"/>
    </row>
    <row r="82" spans="1:12" ht="14.25">
      <c r="A82" s="24" t="s">
        <v>838</v>
      </c>
      <c r="B82" s="24" t="s">
        <v>839</v>
      </c>
      <c r="C82" s="24" t="s">
        <v>840</v>
      </c>
      <c r="D82" s="24">
        <f>"0,5653"</f>
        <v>0</v>
      </c>
      <c r="E82" s="24" t="s">
        <v>232</v>
      </c>
      <c r="F82" s="25" t="s">
        <v>333</v>
      </c>
      <c r="G82" s="25" t="s">
        <v>333</v>
      </c>
      <c r="H82" s="24" t="s">
        <v>104</v>
      </c>
      <c r="I82" s="25"/>
      <c r="J82" s="43">
        <v>290</v>
      </c>
      <c r="K82" s="24">
        <f>"163,9508"</f>
        <v>0</v>
      </c>
      <c r="L82" s="24"/>
    </row>
    <row r="83" spans="1:12" ht="14.25">
      <c r="A83" s="24" t="s">
        <v>1132</v>
      </c>
      <c r="B83" s="24" t="s">
        <v>1133</v>
      </c>
      <c r="C83" s="24" t="s">
        <v>1134</v>
      </c>
      <c r="D83" s="24">
        <f>"0,5610"</f>
        <v>0</v>
      </c>
      <c r="E83" s="24" t="s">
        <v>15</v>
      </c>
      <c r="F83" s="24" t="s">
        <v>279</v>
      </c>
      <c r="G83" s="24" t="s">
        <v>79</v>
      </c>
      <c r="H83" s="24" t="s">
        <v>1135</v>
      </c>
      <c r="I83" s="25"/>
      <c r="J83" s="43">
        <v>282.5</v>
      </c>
      <c r="K83" s="24">
        <f>"158,4838"</f>
        <v>0</v>
      </c>
      <c r="L83" s="24"/>
    </row>
    <row r="84" spans="1:12" ht="14.25">
      <c r="A84" s="24" t="s">
        <v>1136</v>
      </c>
      <c r="B84" s="24" t="s">
        <v>1137</v>
      </c>
      <c r="C84" s="24" t="s">
        <v>1138</v>
      </c>
      <c r="D84" s="24">
        <f>"0,6103"</f>
        <v>0</v>
      </c>
      <c r="E84" s="24" t="s">
        <v>15</v>
      </c>
      <c r="F84" s="24" t="s">
        <v>88</v>
      </c>
      <c r="G84" s="24" t="s">
        <v>316</v>
      </c>
      <c r="H84" s="24" t="s">
        <v>337</v>
      </c>
      <c r="I84" s="25"/>
      <c r="J84" s="43">
        <v>255</v>
      </c>
      <c r="K84" s="24">
        <f>"155,6158"</f>
        <v>0</v>
      </c>
      <c r="L84" s="24"/>
    </row>
    <row r="85" spans="1:12" ht="14.25">
      <c r="A85" s="24" t="s">
        <v>1139</v>
      </c>
      <c r="B85" s="24" t="s">
        <v>1140</v>
      </c>
      <c r="C85" s="24" t="s">
        <v>468</v>
      </c>
      <c r="D85" s="24">
        <f>"0,5830"</f>
        <v>0</v>
      </c>
      <c r="E85" s="24" t="s">
        <v>536</v>
      </c>
      <c r="F85" s="25" t="s">
        <v>88</v>
      </c>
      <c r="G85" s="25"/>
      <c r="H85" s="25"/>
      <c r="I85" s="25"/>
      <c r="J85" s="43">
        <v>0</v>
      </c>
      <c r="K85" s="24">
        <f aca="true" t="shared" si="0" ref="K85:K86">"0,0000"</f>
        <v>0</v>
      </c>
      <c r="L85" s="24"/>
    </row>
    <row r="86" spans="1:12" ht="14.25">
      <c r="A86" s="24" t="s">
        <v>1141</v>
      </c>
      <c r="B86" s="24" t="s">
        <v>1142</v>
      </c>
      <c r="C86" s="24" t="s">
        <v>848</v>
      </c>
      <c r="D86" s="24">
        <f>"0,6631"</f>
        <v>0</v>
      </c>
      <c r="E86" s="24" t="s">
        <v>15</v>
      </c>
      <c r="F86" s="25" t="s">
        <v>41</v>
      </c>
      <c r="G86" s="25" t="s">
        <v>41</v>
      </c>
      <c r="H86" s="25" t="s">
        <v>41</v>
      </c>
      <c r="I86" s="25"/>
      <c r="J86" s="43">
        <v>0</v>
      </c>
      <c r="K86" s="24">
        <f t="shared" si="0"/>
        <v>0</v>
      </c>
      <c r="L86" s="24"/>
    </row>
    <row r="87" spans="1:12" ht="14.25">
      <c r="A87" s="20" t="s">
        <v>1143</v>
      </c>
      <c r="B87" s="20" t="s">
        <v>1144</v>
      </c>
      <c r="C87" s="20" t="s">
        <v>1145</v>
      </c>
      <c r="D87" s="20">
        <f>"0,6839"</f>
        <v>0</v>
      </c>
      <c r="E87" s="20" t="s">
        <v>15</v>
      </c>
      <c r="F87" s="20" t="s">
        <v>93</v>
      </c>
      <c r="G87" s="21" t="s">
        <v>41</v>
      </c>
      <c r="H87" s="20" t="s">
        <v>429</v>
      </c>
      <c r="I87" s="21"/>
      <c r="J87" s="44">
        <v>245</v>
      </c>
      <c r="K87" s="20">
        <f>"167,5598"</f>
        <v>0</v>
      </c>
      <c r="L87" s="20"/>
    </row>
    <row r="89" spans="1:11" ht="16.5">
      <c r="A89" s="23" t="s">
        <v>135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2" ht="14.25">
      <c r="A90" s="16" t="s">
        <v>1146</v>
      </c>
      <c r="B90" s="16" t="s">
        <v>1147</v>
      </c>
      <c r="C90" s="16" t="s">
        <v>1148</v>
      </c>
      <c r="D90" s="16">
        <f>"0,5380"</f>
        <v>0</v>
      </c>
      <c r="E90" s="16" t="s">
        <v>228</v>
      </c>
      <c r="F90" s="16" t="s">
        <v>68</v>
      </c>
      <c r="G90" s="16" t="s">
        <v>104</v>
      </c>
      <c r="H90" s="18" t="s">
        <v>353</v>
      </c>
      <c r="I90" s="18"/>
      <c r="J90" s="42">
        <v>290</v>
      </c>
      <c r="K90" s="16">
        <f>"156,0142"</f>
        <v>0</v>
      </c>
      <c r="L90" s="16"/>
    </row>
    <row r="91" spans="1:12" ht="14.25">
      <c r="A91" s="24" t="s">
        <v>1149</v>
      </c>
      <c r="B91" s="24" t="s">
        <v>1150</v>
      </c>
      <c r="C91" s="24" t="s">
        <v>1151</v>
      </c>
      <c r="D91" s="24">
        <f>"0,5448"</f>
        <v>0</v>
      </c>
      <c r="E91" s="24" t="s">
        <v>1152</v>
      </c>
      <c r="F91" s="25" t="s">
        <v>100</v>
      </c>
      <c r="G91" s="24" t="s">
        <v>100</v>
      </c>
      <c r="H91" s="25" t="s">
        <v>365</v>
      </c>
      <c r="I91" s="25"/>
      <c r="J91" s="43">
        <v>335</v>
      </c>
      <c r="K91" s="24">
        <f>"182,5113"</f>
        <v>0</v>
      </c>
      <c r="L91" s="24"/>
    </row>
    <row r="92" spans="1:12" ht="14.25">
      <c r="A92" s="24" t="s">
        <v>1153</v>
      </c>
      <c r="B92" s="24" t="s">
        <v>1154</v>
      </c>
      <c r="C92" s="24" t="s">
        <v>1155</v>
      </c>
      <c r="D92" s="24">
        <f>"0,5416"</f>
        <v>0</v>
      </c>
      <c r="E92" s="24" t="s">
        <v>1156</v>
      </c>
      <c r="F92" s="24" t="s">
        <v>333</v>
      </c>
      <c r="G92" s="24" t="s">
        <v>105</v>
      </c>
      <c r="H92" s="24" t="s">
        <v>298</v>
      </c>
      <c r="I92" s="25"/>
      <c r="J92" s="43">
        <v>315</v>
      </c>
      <c r="K92" s="24">
        <f>"170,6040"</f>
        <v>0</v>
      </c>
      <c r="L92" s="24"/>
    </row>
    <row r="93" spans="1:12" ht="14.25">
      <c r="A93" s="24" t="s">
        <v>874</v>
      </c>
      <c r="B93" s="24" t="s">
        <v>875</v>
      </c>
      <c r="C93" s="24" t="s">
        <v>876</v>
      </c>
      <c r="D93" s="24">
        <f>"0,5406"</f>
        <v>0</v>
      </c>
      <c r="E93" s="24" t="s">
        <v>15</v>
      </c>
      <c r="F93" s="24" t="s">
        <v>42</v>
      </c>
      <c r="G93" s="24" t="s">
        <v>68</v>
      </c>
      <c r="H93" s="25" t="s">
        <v>79</v>
      </c>
      <c r="I93" s="25"/>
      <c r="J93" s="43">
        <v>260</v>
      </c>
      <c r="K93" s="24">
        <f>"140,5560"</f>
        <v>0</v>
      </c>
      <c r="L93" s="24"/>
    </row>
    <row r="94" spans="1:12" ht="14.25">
      <c r="A94" s="20" t="s">
        <v>883</v>
      </c>
      <c r="B94" s="20" t="s">
        <v>884</v>
      </c>
      <c r="C94" s="20" t="s">
        <v>885</v>
      </c>
      <c r="D94" s="20">
        <f>"0,5596"</f>
        <v>0</v>
      </c>
      <c r="E94" s="20" t="s">
        <v>15</v>
      </c>
      <c r="F94" s="20" t="s">
        <v>41</v>
      </c>
      <c r="G94" s="21" t="s">
        <v>68</v>
      </c>
      <c r="H94" s="21"/>
      <c r="I94" s="21"/>
      <c r="J94" s="22" t="s">
        <v>115</v>
      </c>
      <c r="K94" s="20" t="s">
        <v>1157</v>
      </c>
      <c r="L94" s="20"/>
    </row>
    <row r="96" spans="1:11" ht="16.5">
      <c r="A96" s="23" t="s">
        <v>140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2" ht="14.25">
      <c r="A97" s="27" t="s">
        <v>1158</v>
      </c>
      <c r="B97" s="27" t="s">
        <v>1159</v>
      </c>
      <c r="C97" s="27" t="s">
        <v>1160</v>
      </c>
      <c r="D97" s="27">
        <f>"0,5226"</f>
        <v>0</v>
      </c>
      <c r="E97" s="27" t="s">
        <v>228</v>
      </c>
      <c r="F97" s="27" t="s">
        <v>435</v>
      </c>
      <c r="G97" s="28" t="s">
        <v>1161</v>
      </c>
      <c r="H97" s="28" t="s">
        <v>1161</v>
      </c>
      <c r="I97" s="28"/>
      <c r="J97" s="41">
        <v>350</v>
      </c>
      <c r="K97" s="27">
        <f>"182,9188"</f>
        <v>0</v>
      </c>
      <c r="L97" s="27"/>
    </row>
    <row r="99" ht="16.5">
      <c r="E99" s="30" t="s">
        <v>144</v>
      </c>
    </row>
    <row r="100" ht="16.5">
      <c r="E100" s="30" t="s">
        <v>145</v>
      </c>
    </row>
    <row r="101" ht="16.5">
      <c r="E101" s="30" t="s">
        <v>146</v>
      </c>
    </row>
    <row r="102" ht="14.25">
      <c r="E102" s="1" t="s">
        <v>147</v>
      </c>
    </row>
    <row r="103" ht="14.25">
      <c r="E103" s="1" t="s">
        <v>148</v>
      </c>
    </row>
    <row r="104" ht="14.25">
      <c r="E104" s="1" t="s">
        <v>149</v>
      </c>
    </row>
    <row r="108" spans="1:2" ht="18.75">
      <c r="A108" s="31" t="s">
        <v>150</v>
      </c>
      <c r="B108" s="31"/>
    </row>
    <row r="109" spans="1:2" ht="16.5">
      <c r="A109" s="32" t="s">
        <v>151</v>
      </c>
      <c r="B109" s="32"/>
    </row>
    <row r="110" spans="1:2" ht="15.75">
      <c r="A110" s="33" t="s">
        <v>375</v>
      </c>
      <c r="B110" s="34"/>
    </row>
    <row r="111" spans="1:5" ht="15.75">
      <c r="A111" s="35" t="s">
        <v>1</v>
      </c>
      <c r="B111" s="35" t="s">
        <v>153</v>
      </c>
      <c r="C111" s="35" t="s">
        <v>154</v>
      </c>
      <c r="D111" s="35" t="s">
        <v>7</v>
      </c>
      <c r="E111" s="35" t="s">
        <v>155</v>
      </c>
    </row>
    <row r="112" spans="1:5" ht="14.25">
      <c r="A112" s="36" t="s">
        <v>997</v>
      </c>
      <c r="B112" s="1" t="s">
        <v>376</v>
      </c>
      <c r="C112" s="1" t="s">
        <v>158</v>
      </c>
      <c r="D112" s="1" t="s">
        <v>36</v>
      </c>
      <c r="E112" s="37" t="s">
        <v>1162</v>
      </c>
    </row>
    <row r="114" spans="1:2" ht="15.75">
      <c r="A114" s="33" t="s">
        <v>165</v>
      </c>
      <c r="B114" s="34"/>
    </row>
    <row r="115" spans="1:5" ht="15.75">
      <c r="A115" s="35" t="s">
        <v>1</v>
      </c>
      <c r="B115" s="35" t="s">
        <v>153</v>
      </c>
      <c r="C115" s="35" t="s">
        <v>154</v>
      </c>
      <c r="D115" s="35" t="s">
        <v>7</v>
      </c>
      <c r="E115" s="35" t="s">
        <v>155</v>
      </c>
    </row>
    <row r="116" spans="1:5" ht="14.25">
      <c r="A116" s="24" t="s">
        <v>1163</v>
      </c>
      <c r="B116" s="1" t="s">
        <v>166</v>
      </c>
      <c r="C116" s="1" t="s">
        <v>158</v>
      </c>
      <c r="D116" s="24" t="s">
        <v>627</v>
      </c>
      <c r="E116" s="43" t="s">
        <v>1003</v>
      </c>
    </row>
    <row r="117" spans="1:5" ht="14.25">
      <c r="A117" s="36" t="s">
        <v>1008</v>
      </c>
      <c r="B117" s="1" t="s">
        <v>166</v>
      </c>
      <c r="C117" s="1" t="s">
        <v>181</v>
      </c>
      <c r="D117" s="1" t="s">
        <v>93</v>
      </c>
      <c r="E117" s="37" t="s">
        <v>1164</v>
      </c>
    </row>
    <row r="119" spans="1:2" ht="15.75">
      <c r="A119" s="33" t="s">
        <v>152</v>
      </c>
      <c r="B119" s="34"/>
    </row>
    <row r="120" spans="1:5" ht="15.75">
      <c r="A120" s="35" t="s">
        <v>1</v>
      </c>
      <c r="B120" s="35" t="s">
        <v>153</v>
      </c>
      <c r="C120" s="35" t="s">
        <v>154</v>
      </c>
      <c r="D120" s="35" t="s">
        <v>7</v>
      </c>
      <c r="E120" s="35" t="s">
        <v>155</v>
      </c>
    </row>
    <row r="121" spans="1:5" ht="14.25">
      <c r="A121" s="36" t="s">
        <v>572</v>
      </c>
      <c r="B121" s="1" t="s">
        <v>152</v>
      </c>
      <c r="C121" s="1" t="s">
        <v>171</v>
      </c>
      <c r="D121" s="1" t="s">
        <v>74</v>
      </c>
      <c r="E121" s="37" t="s">
        <v>1165</v>
      </c>
    </row>
    <row r="122" spans="1:5" ht="14.25">
      <c r="A122" s="36" t="s">
        <v>1004</v>
      </c>
      <c r="B122" s="1" t="s">
        <v>152</v>
      </c>
      <c r="C122" s="1" t="s">
        <v>158</v>
      </c>
      <c r="D122" s="1" t="s">
        <v>54</v>
      </c>
      <c r="E122" s="37" t="s">
        <v>1166</v>
      </c>
    </row>
    <row r="124" spans="1:2" ht="15.75">
      <c r="A124" s="33" t="s">
        <v>160</v>
      </c>
      <c r="B124" s="34"/>
    </row>
    <row r="125" spans="1:5" ht="15.75">
      <c r="A125" s="35" t="s">
        <v>1</v>
      </c>
      <c r="B125" s="35" t="s">
        <v>153</v>
      </c>
      <c r="C125" s="35" t="s">
        <v>154</v>
      </c>
      <c r="D125" s="35" t="s">
        <v>7</v>
      </c>
      <c r="E125" s="35" t="s">
        <v>155</v>
      </c>
    </row>
    <row r="126" spans="1:5" ht="14.25">
      <c r="A126" s="36" t="s">
        <v>572</v>
      </c>
      <c r="B126" s="1" t="s">
        <v>161</v>
      </c>
      <c r="C126" s="1" t="s">
        <v>171</v>
      </c>
      <c r="D126" s="1" t="s">
        <v>74</v>
      </c>
      <c r="E126" s="37" t="s">
        <v>1167</v>
      </c>
    </row>
    <row r="127" spans="1:5" ht="14.25">
      <c r="A127" s="36" t="s">
        <v>565</v>
      </c>
      <c r="B127" s="1" t="s">
        <v>192</v>
      </c>
      <c r="C127" s="1" t="s">
        <v>156</v>
      </c>
      <c r="D127" s="1" t="s">
        <v>486</v>
      </c>
      <c r="E127" s="37" t="s">
        <v>1168</v>
      </c>
    </row>
    <row r="128" spans="1:5" ht="14.25">
      <c r="A128" s="36" t="s">
        <v>994</v>
      </c>
      <c r="B128" s="1" t="s">
        <v>190</v>
      </c>
      <c r="C128" s="1" t="s">
        <v>944</v>
      </c>
      <c r="D128" s="1" t="s">
        <v>17</v>
      </c>
      <c r="E128" s="37" t="s">
        <v>1169</v>
      </c>
    </row>
    <row r="129" spans="1:5" ht="14.25">
      <c r="A129" s="36" t="s">
        <v>563</v>
      </c>
      <c r="B129" s="1" t="s">
        <v>399</v>
      </c>
      <c r="C129" s="1" t="s">
        <v>156</v>
      </c>
      <c r="D129" s="1" t="s">
        <v>626</v>
      </c>
      <c r="E129" s="37" t="s">
        <v>1170</v>
      </c>
    </row>
    <row r="132" spans="1:2" ht="16.5">
      <c r="A132" s="32" t="s">
        <v>164</v>
      </c>
      <c r="B132" s="32"/>
    </row>
    <row r="133" spans="1:2" ht="15.75">
      <c r="A133" s="33" t="s">
        <v>375</v>
      </c>
      <c r="B133" s="34"/>
    </row>
    <row r="134" spans="1:5" ht="15.75">
      <c r="A134" s="35" t="s">
        <v>1</v>
      </c>
      <c r="B134" s="35" t="s">
        <v>153</v>
      </c>
      <c r="C134" s="35" t="s">
        <v>154</v>
      </c>
      <c r="D134" s="35" t="s">
        <v>7</v>
      </c>
      <c r="E134" s="35" t="s">
        <v>155</v>
      </c>
    </row>
    <row r="135" spans="1:5" ht="14.25">
      <c r="A135" s="36" t="s">
        <v>291</v>
      </c>
      <c r="B135" s="1" t="s">
        <v>376</v>
      </c>
      <c r="C135" s="1" t="s">
        <v>173</v>
      </c>
      <c r="D135" s="1" t="s">
        <v>1091</v>
      </c>
      <c r="E135" s="37" t="s">
        <v>1171</v>
      </c>
    </row>
    <row r="136" spans="1:5" ht="14.25">
      <c r="A136" s="36" t="s">
        <v>1146</v>
      </c>
      <c r="B136" s="1" t="s">
        <v>376</v>
      </c>
      <c r="C136" s="1" t="s">
        <v>175</v>
      </c>
      <c r="D136" s="1" t="s">
        <v>104</v>
      </c>
      <c r="E136" s="37" t="s">
        <v>1172</v>
      </c>
    </row>
    <row r="137" spans="1:5" ht="14.25">
      <c r="A137" s="36" t="s">
        <v>1089</v>
      </c>
      <c r="B137" s="1" t="s">
        <v>917</v>
      </c>
      <c r="C137" s="1" t="s">
        <v>173</v>
      </c>
      <c r="D137" s="1" t="s">
        <v>68</v>
      </c>
      <c r="E137" s="37" t="s">
        <v>1173</v>
      </c>
    </row>
    <row r="138" spans="1:5" ht="14.25">
      <c r="A138" s="36" t="s">
        <v>1115</v>
      </c>
      <c r="B138" s="1" t="s">
        <v>376</v>
      </c>
      <c r="C138" s="1" t="s">
        <v>169</v>
      </c>
      <c r="D138" s="1" t="s">
        <v>68</v>
      </c>
      <c r="E138" s="37" t="s">
        <v>1174</v>
      </c>
    </row>
    <row r="139" spans="1:5" ht="14.25">
      <c r="A139" s="36" t="s">
        <v>598</v>
      </c>
      <c r="B139" s="1" t="s">
        <v>917</v>
      </c>
      <c r="C139" s="1" t="s">
        <v>158</v>
      </c>
      <c r="D139" s="1" t="s">
        <v>486</v>
      </c>
      <c r="E139" s="37" t="s">
        <v>1175</v>
      </c>
    </row>
    <row r="140" spans="1:5" ht="14.25">
      <c r="A140" s="36" t="s">
        <v>1013</v>
      </c>
      <c r="B140" s="1" t="s">
        <v>921</v>
      </c>
      <c r="C140" s="1" t="s">
        <v>156</v>
      </c>
      <c r="D140" s="1" t="s">
        <v>18</v>
      </c>
      <c r="E140" s="37" t="s">
        <v>1176</v>
      </c>
    </row>
    <row r="142" spans="1:2" ht="15.75">
      <c r="A142" s="33" t="s">
        <v>165</v>
      </c>
      <c r="B142" s="34"/>
    </row>
    <row r="143" spans="1:5" ht="15.75">
      <c r="A143" s="35" t="s">
        <v>1</v>
      </c>
      <c r="B143" s="35" t="s">
        <v>153</v>
      </c>
      <c r="C143" s="35" t="s">
        <v>154</v>
      </c>
      <c r="D143" s="35" t="s">
        <v>7</v>
      </c>
      <c r="E143" s="35" t="s">
        <v>155</v>
      </c>
    </row>
    <row r="144" spans="1:5" ht="14.25">
      <c r="A144" s="36" t="s">
        <v>1118</v>
      </c>
      <c r="B144" s="1" t="s">
        <v>166</v>
      </c>
      <c r="C144" s="1" t="s">
        <v>169</v>
      </c>
      <c r="D144" s="1" t="s">
        <v>353</v>
      </c>
      <c r="E144" s="37" t="s">
        <v>1177</v>
      </c>
    </row>
    <row r="145" spans="1:5" ht="14.25">
      <c r="A145" s="36" t="s">
        <v>1046</v>
      </c>
      <c r="B145" s="1" t="s">
        <v>166</v>
      </c>
      <c r="C145" s="1" t="s">
        <v>181</v>
      </c>
      <c r="D145" s="1" t="s">
        <v>40</v>
      </c>
      <c r="E145" s="37" t="s">
        <v>1178</v>
      </c>
    </row>
    <row r="146" spans="1:5" ht="14.25">
      <c r="A146" s="36" t="s">
        <v>1056</v>
      </c>
      <c r="B146" s="1" t="s">
        <v>166</v>
      </c>
      <c r="C146" s="1" t="s">
        <v>167</v>
      </c>
      <c r="D146" s="1" t="s">
        <v>78</v>
      </c>
      <c r="E146" s="37" t="s">
        <v>1179</v>
      </c>
    </row>
    <row r="148" spans="1:2" ht="15.75">
      <c r="A148" s="33" t="s">
        <v>152</v>
      </c>
      <c r="B148" s="34"/>
    </row>
    <row r="149" spans="1:5" ht="15.75">
      <c r="A149" s="35" t="s">
        <v>1</v>
      </c>
      <c r="B149" s="35" t="s">
        <v>153</v>
      </c>
      <c r="C149" s="35" t="s">
        <v>154</v>
      </c>
      <c r="D149" s="35" t="s">
        <v>7</v>
      </c>
      <c r="E149" s="35" t="s">
        <v>155</v>
      </c>
    </row>
    <row r="150" spans="1:5" ht="14.25">
      <c r="A150" s="36" t="s">
        <v>1092</v>
      </c>
      <c r="B150" s="1" t="s">
        <v>152</v>
      </c>
      <c r="C150" s="1" t="s">
        <v>173</v>
      </c>
      <c r="D150" s="1" t="s">
        <v>472</v>
      </c>
      <c r="E150" s="37" t="s">
        <v>1180</v>
      </c>
    </row>
    <row r="151" spans="1:5" ht="14.25">
      <c r="A151" s="36" t="s">
        <v>1060</v>
      </c>
      <c r="B151" s="1" t="s">
        <v>152</v>
      </c>
      <c r="C151" s="1" t="s">
        <v>167</v>
      </c>
      <c r="D151" s="1" t="s">
        <v>362</v>
      </c>
      <c r="E151" s="37" t="s">
        <v>1181</v>
      </c>
    </row>
    <row r="152" spans="1:5" ht="14.25">
      <c r="A152" s="36" t="s">
        <v>1158</v>
      </c>
      <c r="B152" s="1" t="s">
        <v>152</v>
      </c>
      <c r="C152" s="1" t="s">
        <v>194</v>
      </c>
      <c r="D152" s="1" t="s">
        <v>435</v>
      </c>
      <c r="E152" s="37" t="s">
        <v>1182</v>
      </c>
    </row>
    <row r="153" spans="1:5" ht="14.25">
      <c r="A153" s="36" t="s">
        <v>1149</v>
      </c>
      <c r="B153" s="1" t="s">
        <v>152</v>
      </c>
      <c r="C153" s="1" t="s">
        <v>175</v>
      </c>
      <c r="D153" s="1" t="s">
        <v>100</v>
      </c>
      <c r="E153" s="37" t="s">
        <v>1183</v>
      </c>
    </row>
    <row r="154" spans="1:5" ht="14.25">
      <c r="A154" s="36" t="s">
        <v>1121</v>
      </c>
      <c r="B154" s="1" t="s">
        <v>152</v>
      </c>
      <c r="C154" s="1" t="s">
        <v>169</v>
      </c>
      <c r="D154" s="1" t="s">
        <v>139</v>
      </c>
      <c r="E154" s="37" t="s">
        <v>1184</v>
      </c>
    </row>
    <row r="155" spans="1:5" ht="14.25">
      <c r="A155" s="36" t="s">
        <v>621</v>
      </c>
      <c r="B155" s="1" t="s">
        <v>152</v>
      </c>
      <c r="C155" s="1" t="s">
        <v>156</v>
      </c>
      <c r="D155" s="1" t="s">
        <v>337</v>
      </c>
      <c r="E155" s="37" t="s">
        <v>1185</v>
      </c>
    </row>
    <row r="156" spans="1:5" ht="14.25">
      <c r="A156" s="36" t="s">
        <v>1019</v>
      </c>
      <c r="B156" s="1" t="s">
        <v>152</v>
      </c>
      <c r="C156" s="1" t="s">
        <v>156</v>
      </c>
      <c r="D156" s="1" t="s">
        <v>41</v>
      </c>
      <c r="E156" s="37" t="s">
        <v>1186</v>
      </c>
    </row>
    <row r="157" spans="1:5" ht="14.25">
      <c r="A157" s="36" t="s">
        <v>1153</v>
      </c>
      <c r="B157" s="1" t="s">
        <v>152</v>
      </c>
      <c r="C157" s="1" t="s">
        <v>175</v>
      </c>
      <c r="D157" s="1" t="s">
        <v>298</v>
      </c>
      <c r="E157" s="37" t="s">
        <v>1187</v>
      </c>
    </row>
    <row r="158" spans="1:5" ht="14.25">
      <c r="A158" s="36" t="s">
        <v>1016</v>
      </c>
      <c r="B158" s="1" t="s">
        <v>152</v>
      </c>
      <c r="C158" s="1" t="s">
        <v>156</v>
      </c>
      <c r="D158" s="1" t="s">
        <v>1018</v>
      </c>
      <c r="E158" s="37" t="s">
        <v>1188</v>
      </c>
    </row>
    <row r="159" spans="1:5" ht="14.25">
      <c r="A159" s="36" t="s">
        <v>832</v>
      </c>
      <c r="B159" s="1" t="s">
        <v>152</v>
      </c>
      <c r="C159" s="1" t="s">
        <v>169</v>
      </c>
      <c r="D159" s="1" t="s">
        <v>441</v>
      </c>
      <c r="E159" s="37" t="s">
        <v>1189</v>
      </c>
    </row>
    <row r="160" spans="1:5" ht="14.25">
      <c r="A160" s="36" t="s">
        <v>1032</v>
      </c>
      <c r="B160" s="1" t="s">
        <v>152</v>
      </c>
      <c r="C160" s="1" t="s">
        <v>171</v>
      </c>
      <c r="D160" s="1" t="s">
        <v>337</v>
      </c>
      <c r="E160" s="37" t="s">
        <v>1190</v>
      </c>
    </row>
    <row r="161" spans="1:5" ht="14.25">
      <c r="A161" s="36" t="s">
        <v>1095</v>
      </c>
      <c r="B161" s="1" t="s">
        <v>152</v>
      </c>
      <c r="C161" s="1" t="s">
        <v>173</v>
      </c>
      <c r="D161" s="1" t="s">
        <v>104</v>
      </c>
      <c r="E161" s="37" t="s">
        <v>1191</v>
      </c>
    </row>
    <row r="162" spans="1:5" ht="14.25">
      <c r="A162" s="36" t="s">
        <v>1048</v>
      </c>
      <c r="B162" s="1" t="s">
        <v>152</v>
      </c>
      <c r="C162" s="1" t="s">
        <v>181</v>
      </c>
      <c r="D162" s="1" t="s">
        <v>68</v>
      </c>
      <c r="E162" s="37" t="s">
        <v>1192</v>
      </c>
    </row>
    <row r="163" spans="1:5" ht="14.25">
      <c r="A163" s="36" t="s">
        <v>1069</v>
      </c>
      <c r="B163" s="1" t="s">
        <v>152</v>
      </c>
      <c r="C163" s="1" t="s">
        <v>167</v>
      </c>
      <c r="D163" s="1" t="s">
        <v>79</v>
      </c>
      <c r="E163" s="37" t="s">
        <v>1193</v>
      </c>
    </row>
    <row r="164" spans="1:5" ht="14.25">
      <c r="A164" s="36" t="s">
        <v>1125</v>
      </c>
      <c r="B164" s="1" t="s">
        <v>152</v>
      </c>
      <c r="C164" s="1" t="s">
        <v>169</v>
      </c>
      <c r="D164" s="1" t="s">
        <v>333</v>
      </c>
      <c r="E164" s="37" t="s">
        <v>1194</v>
      </c>
    </row>
    <row r="165" spans="1:5" ht="14.25">
      <c r="A165" s="36" t="s">
        <v>1071</v>
      </c>
      <c r="B165" s="1" t="s">
        <v>152</v>
      </c>
      <c r="C165" s="1" t="s">
        <v>167</v>
      </c>
      <c r="D165" s="1" t="s">
        <v>42</v>
      </c>
      <c r="E165" s="37" t="s">
        <v>1195</v>
      </c>
    </row>
    <row r="166" spans="1:5" ht="14.25">
      <c r="A166" s="36" t="s">
        <v>1075</v>
      </c>
      <c r="B166" s="1" t="s">
        <v>152</v>
      </c>
      <c r="C166" s="1" t="s">
        <v>167</v>
      </c>
      <c r="D166" s="1" t="s">
        <v>42</v>
      </c>
      <c r="E166" s="37" t="s">
        <v>1196</v>
      </c>
    </row>
    <row r="167" spans="1:5" ht="14.25">
      <c r="A167" s="36" t="s">
        <v>1034</v>
      </c>
      <c r="B167" s="1" t="s">
        <v>152</v>
      </c>
      <c r="C167" s="1" t="s">
        <v>171</v>
      </c>
      <c r="D167" s="1" t="s">
        <v>83</v>
      </c>
      <c r="E167" s="37" t="s">
        <v>1197</v>
      </c>
    </row>
    <row r="168" spans="1:5" ht="14.25">
      <c r="A168" s="36" t="s">
        <v>1050</v>
      </c>
      <c r="B168" s="1" t="s">
        <v>152</v>
      </c>
      <c r="C168" s="1" t="s">
        <v>181</v>
      </c>
      <c r="D168" s="1" t="s">
        <v>294</v>
      </c>
      <c r="E168" s="37" t="s">
        <v>1198</v>
      </c>
    </row>
    <row r="169" spans="1:5" ht="14.25">
      <c r="A169" s="36" t="s">
        <v>874</v>
      </c>
      <c r="B169" s="1" t="s">
        <v>152</v>
      </c>
      <c r="C169" s="1" t="s">
        <v>175</v>
      </c>
      <c r="D169" s="1" t="s">
        <v>68</v>
      </c>
      <c r="E169" s="37" t="s">
        <v>1199</v>
      </c>
    </row>
    <row r="170" spans="1:5" ht="14.25">
      <c r="A170" s="36" t="s">
        <v>1010</v>
      </c>
      <c r="B170" s="1" t="s">
        <v>152</v>
      </c>
      <c r="C170" s="1" t="s">
        <v>158</v>
      </c>
      <c r="D170" s="1" t="s">
        <v>47</v>
      </c>
      <c r="E170" s="37" t="s">
        <v>1200</v>
      </c>
    </row>
    <row r="172" spans="1:2" ht="15.75">
      <c r="A172" s="33" t="s">
        <v>160</v>
      </c>
      <c r="B172" s="34"/>
    </row>
    <row r="173" spans="1:5" ht="15.75">
      <c r="A173" s="35" t="s">
        <v>1</v>
      </c>
      <c r="B173" s="35" t="s">
        <v>153</v>
      </c>
      <c r="C173" s="35" t="s">
        <v>154</v>
      </c>
      <c r="D173" s="35" t="s">
        <v>7</v>
      </c>
      <c r="E173" s="35" t="s">
        <v>155</v>
      </c>
    </row>
    <row r="174" spans="1:5" ht="14.25">
      <c r="A174" s="36" t="s">
        <v>1028</v>
      </c>
      <c r="B174" s="1" t="s">
        <v>909</v>
      </c>
      <c r="C174" s="1" t="s">
        <v>156</v>
      </c>
      <c r="D174" s="1" t="s">
        <v>1031</v>
      </c>
      <c r="E174" s="37" t="s">
        <v>1201</v>
      </c>
    </row>
    <row r="175" spans="1:5" ht="14.25">
      <c r="A175" s="36" t="s">
        <v>1024</v>
      </c>
      <c r="B175" s="1" t="s">
        <v>190</v>
      </c>
      <c r="C175" s="1" t="s">
        <v>156</v>
      </c>
      <c r="D175" s="1" t="s">
        <v>83</v>
      </c>
      <c r="E175" s="37" t="s">
        <v>1202</v>
      </c>
    </row>
    <row r="176" spans="1:5" ht="14.25">
      <c r="A176" s="36" t="s">
        <v>741</v>
      </c>
      <c r="B176" s="1" t="s">
        <v>909</v>
      </c>
      <c r="C176" s="1" t="s">
        <v>181</v>
      </c>
      <c r="D176" s="1" t="s">
        <v>47</v>
      </c>
      <c r="E176" s="37" t="s">
        <v>1203</v>
      </c>
    </row>
    <row r="177" spans="1:5" ht="14.25">
      <c r="A177" s="36" t="s">
        <v>1037</v>
      </c>
      <c r="B177" s="1" t="s">
        <v>188</v>
      </c>
      <c r="C177" s="1" t="s">
        <v>171</v>
      </c>
      <c r="D177" s="1" t="s">
        <v>68</v>
      </c>
      <c r="E177" s="37" t="s">
        <v>1204</v>
      </c>
    </row>
    <row r="178" spans="1:5" ht="14.25">
      <c r="A178" s="36" t="s">
        <v>1128</v>
      </c>
      <c r="B178" s="1" t="s">
        <v>399</v>
      </c>
      <c r="C178" s="1" t="s">
        <v>169</v>
      </c>
      <c r="D178" s="1" t="s">
        <v>100</v>
      </c>
      <c r="E178" s="37" t="s">
        <v>1205</v>
      </c>
    </row>
    <row r="179" spans="1:5" ht="14.25">
      <c r="A179" s="36" t="s">
        <v>832</v>
      </c>
      <c r="B179" s="1" t="s">
        <v>399</v>
      </c>
      <c r="C179" s="1" t="s">
        <v>169</v>
      </c>
      <c r="D179" s="1" t="s">
        <v>441</v>
      </c>
      <c r="E179" s="37" t="s">
        <v>1206</v>
      </c>
    </row>
    <row r="180" spans="1:5" ht="14.25">
      <c r="A180" s="36" t="s">
        <v>1143</v>
      </c>
      <c r="B180" s="1" t="s">
        <v>190</v>
      </c>
      <c r="C180" s="1" t="s">
        <v>169</v>
      </c>
      <c r="D180" s="1" t="s">
        <v>429</v>
      </c>
      <c r="E180" s="37" t="s">
        <v>1207</v>
      </c>
    </row>
    <row r="181" spans="1:5" ht="14.25">
      <c r="A181" s="36" t="s">
        <v>639</v>
      </c>
      <c r="B181" s="1" t="s">
        <v>186</v>
      </c>
      <c r="C181" s="1" t="s">
        <v>156</v>
      </c>
      <c r="D181" s="1" t="s">
        <v>120</v>
      </c>
      <c r="E181" s="37" t="s">
        <v>1208</v>
      </c>
    </row>
    <row r="182" spans="1:5" ht="14.25">
      <c r="A182" s="36" t="s">
        <v>838</v>
      </c>
      <c r="B182" s="1" t="s">
        <v>399</v>
      </c>
      <c r="C182" s="1" t="s">
        <v>169</v>
      </c>
      <c r="D182" s="1" t="s">
        <v>104</v>
      </c>
      <c r="E182" s="37" t="s">
        <v>1209</v>
      </c>
    </row>
    <row r="183" spans="1:5" ht="14.25">
      <c r="A183" s="36" t="s">
        <v>679</v>
      </c>
      <c r="B183" s="1" t="s">
        <v>192</v>
      </c>
      <c r="C183" s="1" t="s">
        <v>171</v>
      </c>
      <c r="D183" s="1" t="s">
        <v>1031</v>
      </c>
      <c r="E183" s="37" t="s">
        <v>1210</v>
      </c>
    </row>
    <row r="184" spans="1:5" ht="14.25">
      <c r="A184" s="36" t="s">
        <v>1053</v>
      </c>
      <c r="B184" s="1" t="s">
        <v>161</v>
      </c>
      <c r="C184" s="1" t="s">
        <v>181</v>
      </c>
      <c r="D184" s="1" t="s">
        <v>83</v>
      </c>
      <c r="E184" s="37" t="s">
        <v>1211</v>
      </c>
    </row>
    <row r="185" spans="1:5" ht="14.25">
      <c r="A185" s="36" t="s">
        <v>1132</v>
      </c>
      <c r="B185" s="1" t="s">
        <v>399</v>
      </c>
      <c r="C185" s="1" t="s">
        <v>169</v>
      </c>
      <c r="D185" s="1" t="s">
        <v>1135</v>
      </c>
      <c r="E185" s="37" t="s">
        <v>1212</v>
      </c>
    </row>
    <row r="186" spans="1:5" ht="14.25">
      <c r="A186" s="36" t="s">
        <v>1136</v>
      </c>
      <c r="B186" s="1" t="s">
        <v>188</v>
      </c>
      <c r="C186" s="1" t="s">
        <v>169</v>
      </c>
      <c r="D186" s="1" t="s">
        <v>337</v>
      </c>
      <c r="E186" s="37" t="s">
        <v>1213</v>
      </c>
    </row>
    <row r="187" spans="1:5" ht="14.25">
      <c r="A187" s="36" t="s">
        <v>1106</v>
      </c>
      <c r="B187" s="1" t="s">
        <v>188</v>
      </c>
      <c r="C187" s="1" t="s">
        <v>173</v>
      </c>
      <c r="D187" s="1" t="s">
        <v>316</v>
      </c>
      <c r="E187" s="37" t="s">
        <v>1214</v>
      </c>
    </row>
    <row r="188" spans="1:5" ht="14.25">
      <c r="A188" s="36" t="s">
        <v>1021</v>
      </c>
      <c r="B188" s="1" t="s">
        <v>399</v>
      </c>
      <c r="C188" s="1" t="s">
        <v>156</v>
      </c>
      <c r="D188" s="1" t="s">
        <v>46</v>
      </c>
      <c r="E188" s="37" t="s">
        <v>1215</v>
      </c>
    </row>
  </sheetData>
  <sheetProtection selectLockedCells="1" selectUnlockedCells="1"/>
  <mergeCells count="24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8:K8"/>
    <mergeCell ref="A13:K13"/>
    <mergeCell ref="A17:K17"/>
    <mergeCell ref="A21:K21"/>
    <mergeCell ref="A24:K24"/>
    <mergeCell ref="A28:K28"/>
    <mergeCell ref="A38:K38"/>
    <mergeCell ref="A44:K44"/>
    <mergeCell ref="A52:K52"/>
    <mergeCell ref="A63:K63"/>
    <mergeCell ref="A74:K74"/>
    <mergeCell ref="A89:K89"/>
    <mergeCell ref="A96:K9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4">
      <selection activeCell="J1" sqref="J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9" width="5.50390625" style="1" customWidth="1"/>
    <col min="10" max="10" width="6.375" style="2" customWidth="1"/>
    <col min="11" max="11" width="8.50390625" style="1" customWidth="1"/>
    <col min="12" max="12" width="12.125" style="1" customWidth="1"/>
  </cols>
  <sheetData>
    <row r="1" spans="1:12" s="4" customFormat="1" ht="15" customHeight="1">
      <c r="A1" s="3" t="s">
        <v>1216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5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993</v>
      </c>
      <c r="G3" s="8"/>
      <c r="H3" s="8"/>
      <c r="I3" s="8"/>
      <c r="J3" s="9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9"/>
      <c r="K4" s="7"/>
      <c r="L4" s="10"/>
    </row>
    <row r="5" spans="1:11" ht="16.5">
      <c r="A5" s="15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16" t="s">
        <v>37</v>
      </c>
      <c r="B6" s="16" t="s">
        <v>38</v>
      </c>
      <c r="C6" s="16" t="s">
        <v>39</v>
      </c>
      <c r="D6" s="16">
        <f aca="true" t="shared" si="0" ref="D6:D7">"0,6885"</f>
        <v>0</v>
      </c>
      <c r="E6" s="16" t="s">
        <v>15</v>
      </c>
      <c r="F6" s="16" t="s">
        <v>41</v>
      </c>
      <c r="G6" s="16" t="s">
        <v>282</v>
      </c>
      <c r="H6" s="18" t="s">
        <v>1217</v>
      </c>
      <c r="I6" s="18"/>
      <c r="J6" s="19">
        <v>265</v>
      </c>
      <c r="K6" s="16">
        <f>"182,4657"</f>
        <v>0</v>
      </c>
      <c r="L6" s="16" t="s">
        <v>43</v>
      </c>
    </row>
    <row r="7" spans="1:12" ht="14.25">
      <c r="A7" s="24" t="s">
        <v>44</v>
      </c>
      <c r="B7" s="24" t="s">
        <v>45</v>
      </c>
      <c r="C7" s="24" t="s">
        <v>39</v>
      </c>
      <c r="D7" s="24">
        <f t="shared" si="0"/>
        <v>0</v>
      </c>
      <c r="E7" s="24" t="s">
        <v>15</v>
      </c>
      <c r="F7" s="24" t="s">
        <v>93</v>
      </c>
      <c r="G7" s="20" t="s">
        <v>131</v>
      </c>
      <c r="H7" s="20" t="s">
        <v>73</v>
      </c>
      <c r="I7" s="25"/>
      <c r="J7" s="22">
        <v>205</v>
      </c>
      <c r="K7" s="24" t="s">
        <v>1218</v>
      </c>
      <c r="L7" s="24"/>
    </row>
    <row r="8" spans="1:12" ht="14.25">
      <c r="A8" s="24" t="s">
        <v>1219</v>
      </c>
      <c r="B8" s="24" t="s">
        <v>1220</v>
      </c>
      <c r="C8" s="24" t="s">
        <v>1221</v>
      </c>
      <c r="D8" s="24">
        <f>"0,6955"</f>
        <v>0</v>
      </c>
      <c r="E8" s="24" t="s">
        <v>324</v>
      </c>
      <c r="F8" s="24" t="s">
        <v>54</v>
      </c>
      <c r="G8" s="25"/>
      <c r="H8" s="25"/>
      <c r="I8" s="25"/>
      <c r="J8" s="26" t="s">
        <v>54</v>
      </c>
      <c r="K8" s="24" t="s">
        <v>1222</v>
      </c>
      <c r="L8" s="24"/>
    </row>
    <row r="9" spans="1:12" ht="14.25">
      <c r="A9" s="20" t="s">
        <v>44</v>
      </c>
      <c r="B9" s="20" t="s">
        <v>48</v>
      </c>
      <c r="C9" s="20" t="s">
        <v>39</v>
      </c>
      <c r="D9" s="20">
        <f>"0,8152"</f>
        <v>0</v>
      </c>
      <c r="E9" s="20" t="s">
        <v>15</v>
      </c>
      <c r="F9" s="20" t="s">
        <v>93</v>
      </c>
      <c r="G9" s="20" t="s">
        <v>131</v>
      </c>
      <c r="H9" s="20" t="s">
        <v>73</v>
      </c>
      <c r="I9" s="21"/>
      <c r="J9" s="22">
        <v>205</v>
      </c>
      <c r="K9" s="20">
        <f>"167,1249"</f>
        <v>0</v>
      </c>
      <c r="L9" s="20"/>
    </row>
    <row r="11" spans="1:11" ht="16.5">
      <c r="A11" s="23" t="s">
        <v>49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2" ht="14.25">
      <c r="A12" s="16" t="s">
        <v>1223</v>
      </c>
      <c r="B12" s="16" t="s">
        <v>1224</v>
      </c>
      <c r="C12" s="16" t="s">
        <v>1225</v>
      </c>
      <c r="D12" s="16">
        <f>"0,6461"</f>
        <v>0</v>
      </c>
      <c r="E12" s="16" t="s">
        <v>53</v>
      </c>
      <c r="F12" s="18" t="s">
        <v>41</v>
      </c>
      <c r="G12" s="18"/>
      <c r="H12" s="18"/>
      <c r="I12" s="18"/>
      <c r="J12" s="19">
        <v>0</v>
      </c>
      <c r="K12" s="16">
        <f>"0,0000"</f>
        <v>0</v>
      </c>
      <c r="L12" s="16"/>
    </row>
    <row r="13" spans="1:12" ht="14.25">
      <c r="A13" s="24" t="s">
        <v>234</v>
      </c>
      <c r="B13" s="24" t="s">
        <v>235</v>
      </c>
      <c r="C13" s="24" t="s">
        <v>236</v>
      </c>
      <c r="D13" s="24">
        <f>"0,6718"</f>
        <v>0</v>
      </c>
      <c r="E13" s="24" t="s">
        <v>15</v>
      </c>
      <c r="F13" s="25" t="s">
        <v>16</v>
      </c>
      <c r="G13" s="24" t="s">
        <v>16</v>
      </c>
      <c r="H13" s="24" t="s">
        <v>35</v>
      </c>
      <c r="I13" s="25"/>
      <c r="J13" s="26">
        <v>125</v>
      </c>
      <c r="K13" s="24">
        <f>"83,9750"</f>
        <v>0</v>
      </c>
      <c r="L13" s="24"/>
    </row>
    <row r="14" spans="1:12" ht="14.25">
      <c r="A14" s="24" t="s">
        <v>237</v>
      </c>
      <c r="B14" s="24" t="s">
        <v>238</v>
      </c>
      <c r="C14" s="24" t="s">
        <v>239</v>
      </c>
      <c r="D14" s="24">
        <f>"0,6651"</f>
        <v>0</v>
      </c>
      <c r="E14" s="24" t="s">
        <v>15</v>
      </c>
      <c r="F14" s="24" t="s">
        <v>74</v>
      </c>
      <c r="G14" s="24" t="s">
        <v>83</v>
      </c>
      <c r="H14" s="24" t="s">
        <v>316</v>
      </c>
      <c r="I14" s="25"/>
      <c r="J14" s="26">
        <v>235</v>
      </c>
      <c r="K14" s="24">
        <f>"156,2980"</f>
        <v>0</v>
      </c>
      <c r="L14" s="24"/>
    </row>
    <row r="15" spans="1:12" ht="14.25">
      <c r="A15" s="20" t="s">
        <v>685</v>
      </c>
      <c r="B15" s="20" t="s">
        <v>686</v>
      </c>
      <c r="C15" s="20" t="s">
        <v>687</v>
      </c>
      <c r="D15" s="20">
        <f>"1,3507"</f>
        <v>0</v>
      </c>
      <c r="E15" s="20" t="s">
        <v>15</v>
      </c>
      <c r="F15" s="20" t="s">
        <v>218</v>
      </c>
      <c r="G15" s="20" t="s">
        <v>29</v>
      </c>
      <c r="H15" s="21" t="s">
        <v>1226</v>
      </c>
      <c r="I15" s="21"/>
      <c r="J15" s="22">
        <v>120</v>
      </c>
      <c r="K15" s="20">
        <f>"162,0802"</f>
        <v>0</v>
      </c>
      <c r="L15" s="20"/>
    </row>
    <row r="17" spans="1:11" ht="16.5">
      <c r="A17" s="23" t="s">
        <v>63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2" ht="14.25">
      <c r="A18" s="16" t="s">
        <v>1227</v>
      </c>
      <c r="B18" s="16" t="s">
        <v>1228</v>
      </c>
      <c r="C18" s="16" t="s">
        <v>425</v>
      </c>
      <c r="D18" s="16">
        <f>"0,6126"</f>
        <v>0</v>
      </c>
      <c r="E18" s="16" t="s">
        <v>58</v>
      </c>
      <c r="F18" s="16" t="s">
        <v>279</v>
      </c>
      <c r="G18" s="16" t="s">
        <v>282</v>
      </c>
      <c r="H18" s="18" t="s">
        <v>416</v>
      </c>
      <c r="I18" s="18"/>
      <c r="J18" s="19">
        <v>265</v>
      </c>
      <c r="K18" s="16">
        <f>"162,3390"</f>
        <v>0</v>
      </c>
      <c r="L18" s="16"/>
    </row>
    <row r="19" spans="1:12" ht="14.25">
      <c r="A19" s="24" t="s">
        <v>1053</v>
      </c>
      <c r="B19" s="24" t="s">
        <v>1229</v>
      </c>
      <c r="C19" s="24" t="s">
        <v>1055</v>
      </c>
      <c r="D19" s="24">
        <f>"0,6157"</f>
        <v>0</v>
      </c>
      <c r="E19" s="24" t="s">
        <v>15</v>
      </c>
      <c r="F19" s="24" t="s">
        <v>87</v>
      </c>
      <c r="G19" s="24" t="s">
        <v>78</v>
      </c>
      <c r="H19" s="25"/>
      <c r="I19" s="25"/>
      <c r="J19" s="26">
        <v>230</v>
      </c>
      <c r="K19" s="24">
        <f>"141,6110"</f>
        <v>0</v>
      </c>
      <c r="L19" s="24"/>
    </row>
    <row r="20" spans="1:12" ht="14.25">
      <c r="A20" s="24" t="s">
        <v>1050</v>
      </c>
      <c r="B20" s="24" t="s">
        <v>1051</v>
      </c>
      <c r="C20" s="24" t="s">
        <v>1052</v>
      </c>
      <c r="D20" s="24">
        <f>"0,6188"</f>
        <v>0</v>
      </c>
      <c r="E20" s="24" t="s">
        <v>15</v>
      </c>
      <c r="F20" s="24" t="s">
        <v>47</v>
      </c>
      <c r="G20" s="24" t="s">
        <v>73</v>
      </c>
      <c r="H20" s="24" t="s">
        <v>74</v>
      </c>
      <c r="I20" s="25"/>
      <c r="J20" s="26">
        <v>215</v>
      </c>
      <c r="K20" s="24">
        <f>"133,0527"</f>
        <v>0</v>
      </c>
      <c r="L20" s="24"/>
    </row>
    <row r="21" spans="1:12" ht="14.25">
      <c r="A21" s="24" t="s">
        <v>1230</v>
      </c>
      <c r="B21" s="24" t="s">
        <v>1231</v>
      </c>
      <c r="C21" s="24" t="s">
        <v>66</v>
      </c>
      <c r="D21" s="24">
        <f>"0,6384"</f>
        <v>0</v>
      </c>
      <c r="E21" s="24" t="s">
        <v>324</v>
      </c>
      <c r="F21" s="25" t="s">
        <v>1135</v>
      </c>
      <c r="G21" s="25" t="s">
        <v>1135</v>
      </c>
      <c r="H21" s="24" t="s">
        <v>1135</v>
      </c>
      <c r="I21" s="25"/>
      <c r="J21" s="26">
        <v>282.5</v>
      </c>
      <c r="K21" s="24">
        <f>"180,3612"</f>
        <v>0</v>
      </c>
      <c r="L21" s="24"/>
    </row>
    <row r="22" spans="1:12" ht="14.25">
      <c r="A22" s="24" t="s">
        <v>1232</v>
      </c>
      <c r="B22" s="24" t="s">
        <v>1233</v>
      </c>
      <c r="C22" s="24" t="s">
        <v>1234</v>
      </c>
      <c r="D22" s="24">
        <f>"0,6241"</f>
        <v>0</v>
      </c>
      <c r="E22" s="16" t="s">
        <v>58</v>
      </c>
      <c r="F22" s="25" t="s">
        <v>68</v>
      </c>
      <c r="G22" s="25" t="s">
        <v>282</v>
      </c>
      <c r="H22" s="25" t="s">
        <v>416</v>
      </c>
      <c r="I22" s="25"/>
      <c r="J22" s="26">
        <v>0</v>
      </c>
      <c r="K22" s="24">
        <f>"0,0000"</f>
        <v>0</v>
      </c>
      <c r="L22" s="24"/>
    </row>
    <row r="23" spans="1:12" ht="14.25">
      <c r="A23" s="24" t="s">
        <v>1053</v>
      </c>
      <c r="B23" s="24" t="s">
        <v>1054</v>
      </c>
      <c r="C23" s="24" t="s">
        <v>1055</v>
      </c>
      <c r="D23" s="24">
        <f>"0,7062"</f>
        <v>0</v>
      </c>
      <c r="E23" s="24" t="s">
        <v>15</v>
      </c>
      <c r="F23" s="24" t="s">
        <v>87</v>
      </c>
      <c r="G23" s="24" t="s">
        <v>78</v>
      </c>
      <c r="H23" s="25"/>
      <c r="I23" s="25"/>
      <c r="J23" s="26">
        <v>230</v>
      </c>
      <c r="K23" s="24">
        <f>"162,4278"</f>
        <v>0</v>
      </c>
      <c r="L23" s="24"/>
    </row>
    <row r="24" spans="1:12" ht="14.25">
      <c r="A24" s="20" t="s">
        <v>1235</v>
      </c>
      <c r="B24" s="20" t="s">
        <v>1236</v>
      </c>
      <c r="C24" s="20" t="s">
        <v>1234</v>
      </c>
      <c r="D24" s="20">
        <f>"0,8046"</f>
        <v>0</v>
      </c>
      <c r="E24" s="20" t="s">
        <v>15</v>
      </c>
      <c r="F24" s="20" t="s">
        <v>74</v>
      </c>
      <c r="G24" s="20" t="s">
        <v>83</v>
      </c>
      <c r="H24" s="20" t="s">
        <v>316</v>
      </c>
      <c r="I24" s="21"/>
      <c r="J24" s="22">
        <v>235</v>
      </c>
      <c r="K24" s="20">
        <f>"189,0770"</f>
        <v>0</v>
      </c>
      <c r="L24" s="20"/>
    </row>
    <row r="26" spans="1:11" ht="16.5">
      <c r="A26" s="23" t="s">
        <v>69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2" ht="14.25">
      <c r="A27" s="16" t="s">
        <v>1237</v>
      </c>
      <c r="B27" s="16" t="s">
        <v>1238</v>
      </c>
      <c r="C27" s="16" t="s">
        <v>1239</v>
      </c>
      <c r="D27" s="16">
        <f>"0,5896"</f>
        <v>0</v>
      </c>
      <c r="E27" s="16" t="s">
        <v>1040</v>
      </c>
      <c r="F27" s="16" t="s">
        <v>88</v>
      </c>
      <c r="G27" s="16" t="s">
        <v>40</v>
      </c>
      <c r="H27" s="16" t="s">
        <v>78</v>
      </c>
      <c r="I27" s="16" t="s">
        <v>316</v>
      </c>
      <c r="J27" s="19">
        <v>230</v>
      </c>
      <c r="K27" s="16">
        <f>"135,6195"</f>
        <v>0</v>
      </c>
      <c r="L27" s="16"/>
    </row>
    <row r="28" spans="1:12" ht="14.25">
      <c r="A28" s="20" t="s">
        <v>1078</v>
      </c>
      <c r="B28" s="20" t="s">
        <v>1079</v>
      </c>
      <c r="C28" s="20" t="s">
        <v>1080</v>
      </c>
      <c r="D28" s="20">
        <f>"0,5900"</f>
        <v>0</v>
      </c>
      <c r="E28" s="20" t="s">
        <v>228</v>
      </c>
      <c r="F28" s="21" t="s">
        <v>370</v>
      </c>
      <c r="G28" s="21"/>
      <c r="H28" s="21"/>
      <c r="I28" s="21"/>
      <c r="J28" s="22">
        <v>0</v>
      </c>
      <c r="K28" s="20">
        <f>"0,0000"</f>
        <v>0</v>
      </c>
      <c r="L28" s="20"/>
    </row>
    <row r="30" spans="1:11" ht="16.5">
      <c r="A30" s="23" t="s">
        <v>94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2" ht="14.25">
      <c r="A31" s="16" t="s">
        <v>1240</v>
      </c>
      <c r="B31" s="16" t="s">
        <v>1241</v>
      </c>
      <c r="C31" s="16" t="s">
        <v>114</v>
      </c>
      <c r="D31" s="16">
        <f>"0,5641"</f>
        <v>0</v>
      </c>
      <c r="E31" s="16" t="s">
        <v>15</v>
      </c>
      <c r="F31" s="16" t="s">
        <v>98</v>
      </c>
      <c r="G31" s="16" t="s">
        <v>99</v>
      </c>
      <c r="H31" s="18" t="s">
        <v>472</v>
      </c>
      <c r="I31" s="18"/>
      <c r="J31" s="19">
        <v>330</v>
      </c>
      <c r="K31" s="16">
        <f>"186,1365"</f>
        <v>0</v>
      </c>
      <c r="L31" s="16"/>
    </row>
    <row r="32" spans="1:12" ht="14.25">
      <c r="A32" s="24" t="s">
        <v>1242</v>
      </c>
      <c r="B32" s="24" t="s">
        <v>1243</v>
      </c>
      <c r="C32" s="24" t="s">
        <v>791</v>
      </c>
      <c r="D32" s="24">
        <f>"0,5734"</f>
        <v>0</v>
      </c>
      <c r="E32" s="24" t="s">
        <v>15</v>
      </c>
      <c r="F32" s="24" t="s">
        <v>68</v>
      </c>
      <c r="G32" s="24" t="s">
        <v>416</v>
      </c>
      <c r="H32" s="24" t="s">
        <v>353</v>
      </c>
      <c r="I32" s="25"/>
      <c r="J32" s="26">
        <v>300</v>
      </c>
      <c r="K32" s="24">
        <f>"172,0050"</f>
        <v>0</v>
      </c>
      <c r="L32" s="24"/>
    </row>
    <row r="33" spans="1:12" ht="14.25">
      <c r="A33" s="24" t="s">
        <v>1240</v>
      </c>
      <c r="B33" s="24" t="s">
        <v>1244</v>
      </c>
      <c r="C33" s="24" t="s">
        <v>114</v>
      </c>
      <c r="D33" s="24">
        <f>"0,5815"</f>
        <v>0</v>
      </c>
      <c r="E33" s="24" t="s">
        <v>15</v>
      </c>
      <c r="F33" s="24" t="s">
        <v>98</v>
      </c>
      <c r="G33" s="24" t="s">
        <v>99</v>
      </c>
      <c r="H33" s="25" t="s">
        <v>472</v>
      </c>
      <c r="I33" s="25"/>
      <c r="J33" s="26">
        <v>330</v>
      </c>
      <c r="K33" s="24">
        <f>"191,9067"</f>
        <v>0</v>
      </c>
      <c r="L33" s="24"/>
    </row>
    <row r="34" spans="1:12" ht="14.25">
      <c r="A34" s="24" t="s">
        <v>117</v>
      </c>
      <c r="B34" s="24" t="s">
        <v>118</v>
      </c>
      <c r="C34" s="24" t="s">
        <v>119</v>
      </c>
      <c r="D34" s="24">
        <f>"0,6294"</f>
        <v>0</v>
      </c>
      <c r="E34" s="24" t="s">
        <v>15</v>
      </c>
      <c r="F34" s="24" t="s">
        <v>131</v>
      </c>
      <c r="G34" s="24" t="s">
        <v>73</v>
      </c>
      <c r="H34" s="25" t="s">
        <v>349</v>
      </c>
      <c r="I34" s="25"/>
      <c r="J34" s="26">
        <v>205</v>
      </c>
      <c r="K34" s="24">
        <f>"129,0273"</f>
        <v>0</v>
      </c>
      <c r="L34" s="24" t="s">
        <v>37</v>
      </c>
    </row>
    <row r="35" spans="1:12" ht="14.25">
      <c r="A35" s="20" t="s">
        <v>325</v>
      </c>
      <c r="B35" s="20" t="s">
        <v>326</v>
      </c>
      <c r="C35" s="20" t="s">
        <v>302</v>
      </c>
      <c r="D35" s="20">
        <f>"1,0579"</f>
        <v>0</v>
      </c>
      <c r="E35" s="20" t="s">
        <v>327</v>
      </c>
      <c r="F35" s="20" t="s">
        <v>30</v>
      </c>
      <c r="G35" s="21"/>
      <c r="H35" s="21"/>
      <c r="I35" s="21"/>
      <c r="J35" s="22" t="s">
        <v>30</v>
      </c>
      <c r="K35" s="20" t="s">
        <v>1114</v>
      </c>
      <c r="L35" s="20"/>
    </row>
    <row r="37" spans="1:11" ht="16.5">
      <c r="A37" s="23" t="s">
        <v>127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2" ht="14.25">
      <c r="A38" s="16" t="s">
        <v>1245</v>
      </c>
      <c r="B38" s="16" t="s">
        <v>1246</v>
      </c>
      <c r="C38" s="16" t="s">
        <v>1247</v>
      </c>
      <c r="D38" s="16">
        <f>"0,5540"</f>
        <v>0</v>
      </c>
      <c r="E38" s="16" t="s">
        <v>228</v>
      </c>
      <c r="F38" s="18" t="s">
        <v>353</v>
      </c>
      <c r="G38" s="16" t="s">
        <v>353</v>
      </c>
      <c r="H38" s="16" t="s">
        <v>370</v>
      </c>
      <c r="I38" s="18"/>
      <c r="J38" s="19">
        <v>320</v>
      </c>
      <c r="K38" s="16">
        <f>"177,2640"</f>
        <v>0</v>
      </c>
      <c r="L38" s="16"/>
    </row>
    <row r="39" spans="1:12" ht="14.25">
      <c r="A39" s="20" t="s">
        <v>1248</v>
      </c>
      <c r="B39" s="20" t="s">
        <v>1249</v>
      </c>
      <c r="C39" s="20" t="s">
        <v>1250</v>
      </c>
      <c r="D39" s="20">
        <f>"0,6756"</f>
        <v>0</v>
      </c>
      <c r="E39" s="20" t="s">
        <v>15</v>
      </c>
      <c r="F39" s="20" t="s">
        <v>88</v>
      </c>
      <c r="G39" s="20" t="s">
        <v>219</v>
      </c>
      <c r="H39" s="20" t="s">
        <v>1251</v>
      </c>
      <c r="I39" s="21"/>
      <c r="J39" s="22">
        <v>247.5</v>
      </c>
      <c r="K39" s="20">
        <f>"167,2022"</f>
        <v>0</v>
      </c>
      <c r="L39" s="20"/>
    </row>
    <row r="41" spans="1:11" ht="16.5">
      <c r="A41" s="23" t="s">
        <v>140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2" ht="14.25">
      <c r="A42" s="27" t="s">
        <v>1252</v>
      </c>
      <c r="B42" s="27" t="s">
        <v>1253</v>
      </c>
      <c r="C42" s="27" t="s">
        <v>1254</v>
      </c>
      <c r="D42" s="27">
        <f>"0,5273"</f>
        <v>0</v>
      </c>
      <c r="E42" s="27" t="s">
        <v>228</v>
      </c>
      <c r="F42" s="27" t="s">
        <v>1255</v>
      </c>
      <c r="G42" s="27" t="s">
        <v>1256</v>
      </c>
      <c r="H42" s="27" t="s">
        <v>1257</v>
      </c>
      <c r="I42" s="28" t="s">
        <v>1258</v>
      </c>
      <c r="J42" s="29">
        <v>405</v>
      </c>
      <c r="K42" s="27">
        <f>"213,5727"</f>
        <v>0</v>
      </c>
      <c r="L42" s="27"/>
    </row>
    <row r="44" ht="16.5">
      <c r="E44" s="30" t="s">
        <v>144</v>
      </c>
    </row>
    <row r="45" ht="16.5">
      <c r="E45" s="30" t="s">
        <v>145</v>
      </c>
    </row>
    <row r="46" ht="16.5">
      <c r="E46" s="30" t="s">
        <v>146</v>
      </c>
    </row>
    <row r="47" ht="14.25">
      <c r="E47" s="1" t="s">
        <v>147</v>
      </c>
    </row>
    <row r="48" ht="14.25">
      <c r="E48" s="1" t="s">
        <v>148</v>
      </c>
    </row>
    <row r="49" ht="14.25">
      <c r="E49" s="1" t="s">
        <v>149</v>
      </c>
    </row>
    <row r="52" spans="1:2" ht="18.75">
      <c r="A52" s="31" t="s">
        <v>150</v>
      </c>
      <c r="B52" s="31"/>
    </row>
    <row r="53" spans="1:2" ht="16.5">
      <c r="A53" s="32" t="s">
        <v>164</v>
      </c>
      <c r="B53" s="32"/>
    </row>
    <row r="54" spans="1:2" ht="15.75">
      <c r="A54" s="33" t="s">
        <v>165</v>
      </c>
      <c r="B54" s="34"/>
    </row>
    <row r="55" spans="1:5" ht="15.75">
      <c r="A55" s="35" t="s">
        <v>1</v>
      </c>
      <c r="B55" s="35" t="s">
        <v>153</v>
      </c>
      <c r="C55" s="35" t="s">
        <v>154</v>
      </c>
      <c r="D55" s="35" t="s">
        <v>7</v>
      </c>
      <c r="E55" s="35" t="s">
        <v>155</v>
      </c>
    </row>
    <row r="56" spans="1:5" ht="14.25">
      <c r="A56" s="36" t="s">
        <v>1237</v>
      </c>
      <c r="B56" s="1" t="s">
        <v>166</v>
      </c>
      <c r="C56" s="1" t="s">
        <v>167</v>
      </c>
      <c r="D56" s="1" t="s">
        <v>78</v>
      </c>
      <c r="E56" s="37" t="s">
        <v>1259</v>
      </c>
    </row>
    <row r="58" spans="1:2" ht="15.75">
      <c r="A58" s="33" t="s">
        <v>152</v>
      </c>
      <c r="B58" s="34"/>
    </row>
    <row r="59" spans="1:5" ht="15.75">
      <c r="A59" s="35" t="s">
        <v>1</v>
      </c>
      <c r="B59" s="35" t="s">
        <v>153</v>
      </c>
      <c r="C59" s="35" t="s">
        <v>154</v>
      </c>
      <c r="D59" s="35" t="s">
        <v>7</v>
      </c>
      <c r="E59" s="35" t="s">
        <v>155</v>
      </c>
    </row>
    <row r="60" spans="1:5" ht="14.25">
      <c r="A60" s="36" t="s">
        <v>1252</v>
      </c>
      <c r="B60" s="1" t="s">
        <v>152</v>
      </c>
      <c r="C60" s="1" t="s">
        <v>194</v>
      </c>
      <c r="D60" s="1" t="s">
        <v>1257</v>
      </c>
      <c r="E60" s="37" t="s">
        <v>1260</v>
      </c>
    </row>
    <row r="61" spans="1:5" ht="14.25">
      <c r="A61" s="36" t="s">
        <v>1240</v>
      </c>
      <c r="B61" s="1" t="s">
        <v>152</v>
      </c>
      <c r="C61" s="1" t="s">
        <v>173</v>
      </c>
      <c r="D61" s="1" t="s">
        <v>99</v>
      </c>
      <c r="E61" s="37" t="s">
        <v>1261</v>
      </c>
    </row>
    <row r="62" spans="1:5" ht="14.25">
      <c r="A62" s="36" t="s">
        <v>37</v>
      </c>
      <c r="B62" s="1" t="s">
        <v>152</v>
      </c>
      <c r="C62" s="1" t="s">
        <v>156</v>
      </c>
      <c r="D62" s="1" t="s">
        <v>282</v>
      </c>
      <c r="E62" s="37" t="s">
        <v>1262</v>
      </c>
    </row>
    <row r="63" spans="1:5" ht="14.25">
      <c r="A63" s="36" t="s">
        <v>1245</v>
      </c>
      <c r="B63" s="1" t="s">
        <v>152</v>
      </c>
      <c r="C63" s="1" t="s">
        <v>169</v>
      </c>
      <c r="D63" s="1" t="s">
        <v>370</v>
      </c>
      <c r="E63" s="37" t="s">
        <v>1263</v>
      </c>
    </row>
    <row r="64" spans="1:5" ht="14.25">
      <c r="A64" s="36" t="s">
        <v>1242</v>
      </c>
      <c r="B64" s="1" t="s">
        <v>152</v>
      </c>
      <c r="C64" s="1" t="s">
        <v>173</v>
      </c>
      <c r="D64" s="1" t="s">
        <v>353</v>
      </c>
      <c r="E64" s="37" t="s">
        <v>1264</v>
      </c>
    </row>
    <row r="65" spans="1:5" ht="14.25">
      <c r="A65" s="36" t="s">
        <v>1227</v>
      </c>
      <c r="B65" s="1" t="s">
        <v>152</v>
      </c>
      <c r="C65" s="1" t="s">
        <v>181</v>
      </c>
      <c r="D65" s="1" t="s">
        <v>282</v>
      </c>
      <c r="E65" s="37" t="s">
        <v>1265</v>
      </c>
    </row>
    <row r="66" spans="1:5" ht="14.25">
      <c r="A66" s="36" t="s">
        <v>1053</v>
      </c>
      <c r="B66" s="1" t="s">
        <v>152</v>
      </c>
      <c r="C66" s="1" t="s">
        <v>181</v>
      </c>
      <c r="D66" s="1" t="s">
        <v>78</v>
      </c>
      <c r="E66" s="37" t="s">
        <v>1266</v>
      </c>
    </row>
    <row r="67" spans="1:5" ht="14.25">
      <c r="A67" s="36" t="s">
        <v>1050</v>
      </c>
      <c r="B67" s="1" t="s">
        <v>152</v>
      </c>
      <c r="C67" s="1" t="s">
        <v>181</v>
      </c>
      <c r="D67" s="1" t="s">
        <v>74</v>
      </c>
      <c r="E67" s="37" t="s">
        <v>1267</v>
      </c>
    </row>
    <row r="68" spans="1:5" ht="14.25">
      <c r="A68" s="36" t="s">
        <v>234</v>
      </c>
      <c r="B68" s="1" t="s">
        <v>152</v>
      </c>
      <c r="C68" s="1" t="s">
        <v>171</v>
      </c>
      <c r="D68" s="1" t="s">
        <v>35</v>
      </c>
      <c r="E68" s="37" t="s">
        <v>1268</v>
      </c>
    </row>
    <row r="70" spans="1:2" ht="15.75">
      <c r="A70" s="33" t="s">
        <v>160</v>
      </c>
      <c r="B70" s="34"/>
    </row>
    <row r="71" spans="1:5" ht="15.75">
      <c r="A71" s="35" t="s">
        <v>1</v>
      </c>
      <c r="B71" s="35" t="s">
        <v>153</v>
      </c>
      <c r="C71" s="35" t="s">
        <v>154</v>
      </c>
      <c r="D71" s="35" t="s">
        <v>7</v>
      </c>
      <c r="E71" s="35" t="s">
        <v>155</v>
      </c>
    </row>
    <row r="72" spans="1:5" ht="14.25">
      <c r="A72" s="36" t="s">
        <v>1240</v>
      </c>
      <c r="B72" s="1" t="s">
        <v>399</v>
      </c>
      <c r="C72" s="1" t="s">
        <v>173</v>
      </c>
      <c r="D72" s="1" t="s">
        <v>99</v>
      </c>
      <c r="E72" s="37" t="s">
        <v>1269</v>
      </c>
    </row>
    <row r="73" spans="1:5" ht="14.25">
      <c r="A73" s="36" t="s">
        <v>1235</v>
      </c>
      <c r="B73" s="1" t="s">
        <v>190</v>
      </c>
      <c r="C73" s="1" t="s">
        <v>181</v>
      </c>
      <c r="D73" s="1" t="s">
        <v>316</v>
      </c>
      <c r="E73" s="37" t="s">
        <v>1270</v>
      </c>
    </row>
    <row r="74" spans="1:5" ht="14.25">
      <c r="A74" s="36" t="s">
        <v>1230</v>
      </c>
      <c r="B74" s="1" t="s">
        <v>399</v>
      </c>
      <c r="C74" s="1" t="s">
        <v>181</v>
      </c>
      <c r="D74" s="1" t="s">
        <v>1135</v>
      </c>
      <c r="E74" s="37" t="s">
        <v>1271</v>
      </c>
    </row>
    <row r="75" spans="1:5" ht="14.25">
      <c r="A75" s="36" t="s">
        <v>1248</v>
      </c>
      <c r="B75" s="1" t="s">
        <v>161</v>
      </c>
      <c r="C75" s="1" t="s">
        <v>169</v>
      </c>
      <c r="D75" s="1" t="s">
        <v>1251</v>
      </c>
      <c r="E75" s="37" t="s">
        <v>1272</v>
      </c>
    </row>
    <row r="76" spans="1:5" ht="14.25">
      <c r="A76" s="36" t="s">
        <v>44</v>
      </c>
      <c r="B76" s="1" t="s">
        <v>161</v>
      </c>
      <c r="C76" s="1" t="s">
        <v>156</v>
      </c>
      <c r="D76" s="1" t="s">
        <v>73</v>
      </c>
      <c r="E76" s="37" t="s">
        <v>1273</v>
      </c>
    </row>
    <row r="77" spans="1:5" ht="14.25">
      <c r="A77" s="36" t="s">
        <v>1053</v>
      </c>
      <c r="B77" s="1" t="s">
        <v>161</v>
      </c>
      <c r="C77" s="1" t="s">
        <v>181</v>
      </c>
      <c r="D77" s="1" t="s">
        <v>78</v>
      </c>
      <c r="E77" s="37" t="s">
        <v>1274</v>
      </c>
    </row>
    <row r="78" spans="1:5" ht="14.25">
      <c r="A78" s="36" t="s">
        <v>685</v>
      </c>
      <c r="B78" s="1" t="s">
        <v>404</v>
      </c>
      <c r="C78" s="1" t="s">
        <v>171</v>
      </c>
      <c r="D78" s="1" t="s">
        <v>29</v>
      </c>
      <c r="E78" s="37" t="s">
        <v>1275</v>
      </c>
    </row>
    <row r="79" spans="1:5" ht="14.25">
      <c r="A79" s="36" t="s">
        <v>237</v>
      </c>
      <c r="B79" s="1" t="s">
        <v>399</v>
      </c>
      <c r="C79" s="1" t="s">
        <v>171</v>
      </c>
      <c r="D79" s="1" t="s">
        <v>316</v>
      </c>
      <c r="E79" s="37" t="s">
        <v>1276</v>
      </c>
    </row>
    <row r="80" spans="1:5" ht="14.25">
      <c r="A80" s="36" t="s">
        <v>325</v>
      </c>
      <c r="B80" s="1" t="s">
        <v>404</v>
      </c>
      <c r="C80" s="1" t="s">
        <v>173</v>
      </c>
      <c r="D80" s="38" t="s">
        <v>30</v>
      </c>
      <c r="E80" s="39" t="s">
        <v>1114</v>
      </c>
    </row>
    <row r="81" spans="1:5" ht="14.25">
      <c r="A81" s="36" t="s">
        <v>117</v>
      </c>
      <c r="B81" s="1" t="s">
        <v>188</v>
      </c>
      <c r="C81" s="1" t="s">
        <v>173</v>
      </c>
      <c r="D81" s="1" t="s">
        <v>73</v>
      </c>
      <c r="E81" s="37" t="s">
        <v>1277</v>
      </c>
    </row>
  </sheetData>
  <sheetProtection selectLockedCells="1" selectUnlockedCells="1"/>
  <mergeCells count="17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11:K11"/>
    <mergeCell ref="A17:K17"/>
    <mergeCell ref="A26:K26"/>
    <mergeCell ref="A30:K30"/>
    <mergeCell ref="A37:K37"/>
    <mergeCell ref="A41:K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7">
      <selection activeCell="J1" sqref="J1"/>
    </sheetView>
  </sheetViews>
  <sheetFormatPr defaultColWidth="9.00390625" defaultRowHeight="12.75"/>
  <cols>
    <col min="1" max="1" width="27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9" width="5.50390625" style="1" customWidth="1"/>
    <col min="10" max="10" width="6.375" style="37" customWidth="1"/>
    <col min="11" max="11" width="8.50390625" style="1" customWidth="1"/>
    <col min="12" max="12" width="7.125" style="1" customWidth="1"/>
  </cols>
  <sheetData>
    <row r="1" spans="1:12" s="4" customFormat="1" ht="15" customHeight="1">
      <c r="A1" s="3" t="s">
        <v>1278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4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993</v>
      </c>
      <c r="G3" s="8"/>
      <c r="H3" s="8"/>
      <c r="I3" s="8"/>
      <c r="J3" s="40" t="s">
        <v>7</v>
      </c>
      <c r="K3" s="7" t="s">
        <v>8</v>
      </c>
      <c r="L3" s="10" t="s">
        <v>9</v>
      </c>
    </row>
    <row r="4" spans="1:12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40"/>
      <c r="K4" s="7"/>
      <c r="L4" s="10"/>
    </row>
    <row r="5" spans="1:11" ht="16.5">
      <c r="A5" s="15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4.25">
      <c r="A6" s="27" t="s">
        <v>1279</v>
      </c>
      <c r="B6" s="27" t="s">
        <v>1280</v>
      </c>
      <c r="C6" s="27" t="s">
        <v>1281</v>
      </c>
      <c r="D6" s="27">
        <f>"0,8507"</f>
        <v>0</v>
      </c>
      <c r="E6" s="27" t="s">
        <v>15</v>
      </c>
      <c r="F6" s="27" t="s">
        <v>47</v>
      </c>
      <c r="G6" s="27" t="s">
        <v>131</v>
      </c>
      <c r="H6" s="27" t="s">
        <v>87</v>
      </c>
      <c r="I6" s="28"/>
      <c r="J6" s="41">
        <v>200</v>
      </c>
      <c r="K6" s="27">
        <f>"170,1400"</f>
        <v>0</v>
      </c>
      <c r="L6" s="27"/>
    </row>
    <row r="8" spans="1:11" ht="16.5">
      <c r="A8" s="23" t="s">
        <v>25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14.25">
      <c r="A9" s="16" t="s">
        <v>1282</v>
      </c>
      <c r="B9" s="16" t="s">
        <v>1283</v>
      </c>
      <c r="C9" s="16" t="s">
        <v>1284</v>
      </c>
      <c r="D9" s="16">
        <f>"0,9347"</f>
        <v>0</v>
      </c>
      <c r="E9" s="16" t="s">
        <v>15</v>
      </c>
      <c r="F9" s="16" t="s">
        <v>54</v>
      </c>
      <c r="G9" s="16" t="s">
        <v>46</v>
      </c>
      <c r="H9" s="16" t="s">
        <v>131</v>
      </c>
      <c r="I9" s="18"/>
      <c r="J9" s="42">
        <v>190</v>
      </c>
      <c r="K9" s="16">
        <f>"177,5962"</f>
        <v>0</v>
      </c>
      <c r="L9" s="16"/>
    </row>
    <row r="10" spans="1:12" ht="14.25">
      <c r="A10" s="20" t="s">
        <v>410</v>
      </c>
      <c r="B10" s="20" t="s">
        <v>411</v>
      </c>
      <c r="C10" s="20" t="s">
        <v>34</v>
      </c>
      <c r="D10" s="20">
        <f>"1,4271"</f>
        <v>0</v>
      </c>
      <c r="E10" s="20" t="s">
        <v>412</v>
      </c>
      <c r="F10" s="20" t="s">
        <v>54</v>
      </c>
      <c r="G10" s="20" t="s">
        <v>246</v>
      </c>
      <c r="H10" s="20" t="s">
        <v>486</v>
      </c>
      <c r="I10" s="21"/>
      <c r="J10" s="44">
        <v>160</v>
      </c>
      <c r="K10" s="20">
        <f>"228,3372"</f>
        <v>0</v>
      </c>
      <c r="L10" s="20"/>
    </row>
    <row r="12" spans="1:11" ht="16.5">
      <c r="A12" s="23" t="s">
        <v>49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2" ht="14.25">
      <c r="A13" s="16" t="s">
        <v>1223</v>
      </c>
      <c r="B13" s="16" t="s">
        <v>1224</v>
      </c>
      <c r="C13" s="16" t="s">
        <v>1225</v>
      </c>
      <c r="D13" s="16">
        <f>"0,6461"</f>
        <v>0</v>
      </c>
      <c r="E13" s="16" t="s">
        <v>53</v>
      </c>
      <c r="F13" s="16" t="s">
        <v>78</v>
      </c>
      <c r="G13" s="16" t="s">
        <v>429</v>
      </c>
      <c r="H13" s="18" t="s">
        <v>79</v>
      </c>
      <c r="I13" s="18"/>
      <c r="J13" s="42">
        <v>245</v>
      </c>
      <c r="K13" s="16">
        <f>"158,3067"</f>
        <v>0</v>
      </c>
      <c r="L13" s="16"/>
    </row>
    <row r="14" spans="1:12" ht="14.25">
      <c r="A14" s="24" t="s">
        <v>1285</v>
      </c>
      <c r="B14" s="24" t="s">
        <v>1286</v>
      </c>
      <c r="C14" s="24" t="s">
        <v>1036</v>
      </c>
      <c r="D14" s="24">
        <f>"0,6446"</f>
        <v>0</v>
      </c>
      <c r="E14" s="24" t="s">
        <v>228</v>
      </c>
      <c r="F14" s="24" t="s">
        <v>486</v>
      </c>
      <c r="G14" s="24" t="s">
        <v>93</v>
      </c>
      <c r="H14" s="24" t="s">
        <v>87</v>
      </c>
      <c r="I14" s="25"/>
      <c r="J14" s="43">
        <v>200</v>
      </c>
      <c r="K14" s="24">
        <f>"128,9200"</f>
        <v>0</v>
      </c>
      <c r="L14" s="24"/>
    </row>
    <row r="15" spans="1:12" ht="14.25">
      <c r="A15" s="24" t="s">
        <v>1037</v>
      </c>
      <c r="B15" s="24" t="s">
        <v>1038</v>
      </c>
      <c r="C15" s="24" t="s">
        <v>1039</v>
      </c>
      <c r="D15" s="24">
        <f>"0,7214"</f>
        <v>0</v>
      </c>
      <c r="E15" s="24" t="s">
        <v>1040</v>
      </c>
      <c r="F15" s="24" t="s">
        <v>78</v>
      </c>
      <c r="G15" s="24" t="s">
        <v>42</v>
      </c>
      <c r="H15" s="24" t="s">
        <v>68</v>
      </c>
      <c r="I15" s="25"/>
      <c r="J15" s="43">
        <v>260</v>
      </c>
      <c r="K15" s="24">
        <f>"187,5761"</f>
        <v>0</v>
      </c>
      <c r="L15" s="24"/>
    </row>
    <row r="16" spans="1:12" ht="14.25">
      <c r="A16" s="20" t="s">
        <v>417</v>
      </c>
      <c r="B16" s="20" t="s">
        <v>419</v>
      </c>
      <c r="C16" s="20" t="s">
        <v>415</v>
      </c>
      <c r="D16" s="20">
        <f>"0,8490"</f>
        <v>0</v>
      </c>
      <c r="E16" s="20" t="s">
        <v>223</v>
      </c>
      <c r="F16" s="21" t="s">
        <v>40</v>
      </c>
      <c r="G16" s="21" t="s">
        <v>40</v>
      </c>
      <c r="H16" s="21"/>
      <c r="I16" s="21"/>
      <c r="J16" s="44">
        <v>0</v>
      </c>
      <c r="K16" s="20">
        <f>"0,0000"</f>
        <v>0</v>
      </c>
      <c r="L16" s="20"/>
    </row>
    <row r="18" spans="1:11" ht="16.5">
      <c r="A18" s="23" t="s">
        <v>63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2" ht="14.25">
      <c r="A19" s="16" t="s">
        <v>1287</v>
      </c>
      <c r="B19" s="16" t="s">
        <v>1288</v>
      </c>
      <c r="C19" s="16" t="s">
        <v>1289</v>
      </c>
      <c r="D19" s="16">
        <f>"0,6149"</f>
        <v>0</v>
      </c>
      <c r="E19" s="16" t="s">
        <v>15</v>
      </c>
      <c r="F19" s="16" t="s">
        <v>416</v>
      </c>
      <c r="G19" s="18" t="s">
        <v>353</v>
      </c>
      <c r="H19" s="18" t="s">
        <v>353</v>
      </c>
      <c r="I19" s="18"/>
      <c r="J19" s="42">
        <v>285</v>
      </c>
      <c r="K19" s="16">
        <f>"175,2465"</f>
        <v>0</v>
      </c>
      <c r="L19" s="16"/>
    </row>
    <row r="20" spans="1:12" ht="14.25">
      <c r="A20" s="24" t="s">
        <v>1290</v>
      </c>
      <c r="B20" s="24" t="s">
        <v>1291</v>
      </c>
      <c r="C20" s="24" t="s">
        <v>1292</v>
      </c>
      <c r="D20" s="24">
        <f>"0,6217"</f>
        <v>0</v>
      </c>
      <c r="E20" s="24" t="s">
        <v>1040</v>
      </c>
      <c r="F20" s="24" t="s">
        <v>74</v>
      </c>
      <c r="G20" s="24" t="s">
        <v>78</v>
      </c>
      <c r="H20" s="24" t="s">
        <v>316</v>
      </c>
      <c r="I20" s="25"/>
      <c r="J20" s="43">
        <v>235</v>
      </c>
      <c r="K20" s="24">
        <f>"146,1112"</f>
        <v>0</v>
      </c>
      <c r="L20" s="24"/>
    </row>
    <row r="21" spans="1:12" ht="14.25">
      <c r="A21" s="24" t="s">
        <v>423</v>
      </c>
      <c r="B21" s="24" t="s">
        <v>424</v>
      </c>
      <c r="C21" s="24" t="s">
        <v>425</v>
      </c>
      <c r="D21" s="24">
        <f>"0,6126"</f>
        <v>0</v>
      </c>
      <c r="E21" s="24" t="s">
        <v>67</v>
      </c>
      <c r="F21" s="24" t="s">
        <v>47</v>
      </c>
      <c r="G21" s="25" t="s">
        <v>87</v>
      </c>
      <c r="H21" s="24" t="s">
        <v>219</v>
      </c>
      <c r="I21" s="25"/>
      <c r="J21" s="43">
        <v>232.5</v>
      </c>
      <c r="K21" s="24">
        <f>"142,4295"</f>
        <v>0</v>
      </c>
      <c r="L21" s="24"/>
    </row>
    <row r="22" spans="1:12" ht="14.25">
      <c r="A22" s="24" t="s">
        <v>1053</v>
      </c>
      <c r="B22" s="24" t="s">
        <v>1229</v>
      </c>
      <c r="C22" s="24" t="s">
        <v>1055</v>
      </c>
      <c r="D22" s="24">
        <f>"0,6157"</f>
        <v>0</v>
      </c>
      <c r="E22" s="24" t="s">
        <v>15</v>
      </c>
      <c r="F22" s="24" t="s">
        <v>87</v>
      </c>
      <c r="G22" s="24" t="s">
        <v>78</v>
      </c>
      <c r="H22" s="25"/>
      <c r="I22" s="25"/>
      <c r="J22" s="43">
        <v>230</v>
      </c>
      <c r="K22" s="24">
        <f>"141,6110"</f>
        <v>0</v>
      </c>
      <c r="L22" s="24"/>
    </row>
    <row r="23" spans="1:12" ht="14.25">
      <c r="A23" s="20" t="s">
        <v>1053</v>
      </c>
      <c r="B23" s="20" t="s">
        <v>1054</v>
      </c>
      <c r="C23" s="20" t="s">
        <v>1055</v>
      </c>
      <c r="D23" s="20">
        <f>"0,7062"</f>
        <v>0</v>
      </c>
      <c r="E23" s="20" t="s">
        <v>15</v>
      </c>
      <c r="F23" s="20" t="s">
        <v>87</v>
      </c>
      <c r="G23" s="20" t="s">
        <v>78</v>
      </c>
      <c r="H23" s="21"/>
      <c r="I23" s="21"/>
      <c r="J23" s="44">
        <v>230</v>
      </c>
      <c r="K23" s="20">
        <f>"162,4278"</f>
        <v>0</v>
      </c>
      <c r="L23" s="20"/>
    </row>
    <row r="25" spans="1:11" ht="16.5">
      <c r="A25" s="23" t="s">
        <v>69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2" ht="14.25">
      <c r="A26" s="16" t="s">
        <v>1293</v>
      </c>
      <c r="B26" s="16" t="s">
        <v>1294</v>
      </c>
      <c r="C26" s="16" t="s">
        <v>91</v>
      </c>
      <c r="D26" s="16">
        <f>"0,5880"</f>
        <v>0</v>
      </c>
      <c r="E26" s="16" t="s">
        <v>58</v>
      </c>
      <c r="F26" s="16" t="s">
        <v>353</v>
      </c>
      <c r="G26" s="16" t="s">
        <v>98</v>
      </c>
      <c r="H26" s="16" t="s">
        <v>370</v>
      </c>
      <c r="I26" s="18"/>
      <c r="J26" s="42">
        <v>320</v>
      </c>
      <c r="K26" s="16">
        <f>"188,1600"</f>
        <v>0</v>
      </c>
      <c r="L26" s="16"/>
    </row>
    <row r="27" spans="1:12" ht="14.25">
      <c r="A27" s="24" t="s">
        <v>1295</v>
      </c>
      <c r="B27" s="24" t="s">
        <v>1296</v>
      </c>
      <c r="C27" s="24" t="s">
        <v>1297</v>
      </c>
      <c r="D27" s="24">
        <f>"0,5856"</f>
        <v>0</v>
      </c>
      <c r="E27" s="24" t="s">
        <v>15</v>
      </c>
      <c r="F27" s="24" t="s">
        <v>1298</v>
      </c>
      <c r="G27" s="24" t="s">
        <v>104</v>
      </c>
      <c r="H27" s="25" t="s">
        <v>441</v>
      </c>
      <c r="I27" s="25"/>
      <c r="J27" s="43">
        <v>290</v>
      </c>
      <c r="K27" s="24">
        <f>"169,8240"</f>
        <v>0</v>
      </c>
      <c r="L27" s="24"/>
    </row>
    <row r="28" spans="1:12" ht="14.25">
      <c r="A28" s="20" t="s">
        <v>1299</v>
      </c>
      <c r="B28" s="20" t="s">
        <v>1300</v>
      </c>
      <c r="C28" s="20" t="s">
        <v>1301</v>
      </c>
      <c r="D28" s="20">
        <f>"0,5922"</f>
        <v>0</v>
      </c>
      <c r="E28" s="20" t="s">
        <v>1156</v>
      </c>
      <c r="F28" s="20" t="s">
        <v>42</v>
      </c>
      <c r="G28" s="20" t="s">
        <v>68</v>
      </c>
      <c r="H28" s="20" t="s">
        <v>79</v>
      </c>
      <c r="I28" s="21"/>
      <c r="J28" s="44">
        <v>270</v>
      </c>
      <c r="K28" s="20">
        <f>"159,9075"</f>
        <v>0</v>
      </c>
      <c r="L28" s="20"/>
    </row>
    <row r="30" spans="1:11" ht="16.5">
      <c r="A30" s="23" t="s">
        <v>94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2" ht="14.25">
      <c r="A31" s="16" t="s">
        <v>1302</v>
      </c>
      <c r="B31" s="16" t="s">
        <v>1303</v>
      </c>
      <c r="C31" s="16" t="s">
        <v>305</v>
      </c>
      <c r="D31" s="16">
        <f>"0,5635"</f>
        <v>0</v>
      </c>
      <c r="E31" s="16" t="s">
        <v>228</v>
      </c>
      <c r="F31" s="16" t="s">
        <v>79</v>
      </c>
      <c r="G31" s="18" t="s">
        <v>98</v>
      </c>
      <c r="H31" s="18"/>
      <c r="I31" s="18"/>
      <c r="J31" s="42">
        <v>270</v>
      </c>
      <c r="K31" s="16">
        <f>"152,1450"</f>
        <v>0</v>
      </c>
      <c r="L31" s="16"/>
    </row>
    <row r="32" spans="1:12" ht="14.25">
      <c r="A32" s="20" t="s">
        <v>325</v>
      </c>
      <c r="B32" s="20" t="s">
        <v>326</v>
      </c>
      <c r="C32" s="20" t="s">
        <v>302</v>
      </c>
      <c r="D32" s="20">
        <f>"1,0579"</f>
        <v>0</v>
      </c>
      <c r="E32" s="20" t="s">
        <v>327</v>
      </c>
      <c r="F32" s="20" t="s">
        <v>30</v>
      </c>
      <c r="G32" s="21"/>
      <c r="H32" s="21"/>
      <c r="I32" s="21"/>
      <c r="J32" s="22" t="s">
        <v>634</v>
      </c>
      <c r="K32" s="20" t="s">
        <v>1114</v>
      </c>
      <c r="L32" s="20"/>
    </row>
    <row r="34" spans="1:11" ht="16.5">
      <c r="A34" s="23" t="s">
        <v>127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2" ht="14.25">
      <c r="A35" s="16" t="s">
        <v>1304</v>
      </c>
      <c r="B35" s="16" t="s">
        <v>1305</v>
      </c>
      <c r="C35" s="16" t="s">
        <v>1306</v>
      </c>
      <c r="D35" s="16">
        <f>"0,5498"</f>
        <v>0</v>
      </c>
      <c r="E35" s="16" t="s">
        <v>228</v>
      </c>
      <c r="F35" s="18" t="s">
        <v>79</v>
      </c>
      <c r="G35" s="16" t="s">
        <v>79</v>
      </c>
      <c r="H35" s="16" t="s">
        <v>98</v>
      </c>
      <c r="I35" s="18"/>
      <c r="J35" s="42">
        <v>310</v>
      </c>
      <c r="K35" s="16">
        <f>"170,4380"</f>
        <v>0</v>
      </c>
      <c r="L35" s="16"/>
    </row>
    <row r="36" spans="1:12" ht="14.25">
      <c r="A36" s="20" t="s">
        <v>1307</v>
      </c>
      <c r="B36" s="20" t="s">
        <v>1308</v>
      </c>
      <c r="C36" s="20" t="s">
        <v>1309</v>
      </c>
      <c r="D36" s="20">
        <f>"0,5658"</f>
        <v>0</v>
      </c>
      <c r="E36" s="20" t="s">
        <v>462</v>
      </c>
      <c r="F36" s="20" t="s">
        <v>79</v>
      </c>
      <c r="G36" s="20" t="s">
        <v>104</v>
      </c>
      <c r="H36" s="20" t="s">
        <v>105</v>
      </c>
      <c r="I36" s="21"/>
      <c r="J36" s="44">
        <v>305</v>
      </c>
      <c r="K36" s="20">
        <f>"172,5827"</f>
        <v>0</v>
      </c>
      <c r="L36" s="20"/>
    </row>
    <row r="38" spans="1:11" ht="16.5">
      <c r="A38" s="23" t="s">
        <v>135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2" ht="14.25">
      <c r="A39" s="16" t="s">
        <v>475</v>
      </c>
      <c r="B39" s="16" t="s">
        <v>476</v>
      </c>
      <c r="C39" s="16" t="s">
        <v>477</v>
      </c>
      <c r="D39" s="16">
        <f>"0,5446"</f>
        <v>0</v>
      </c>
      <c r="E39" s="16" t="s">
        <v>462</v>
      </c>
      <c r="F39" s="16" t="s">
        <v>88</v>
      </c>
      <c r="G39" s="16" t="s">
        <v>42</v>
      </c>
      <c r="H39" s="16" t="s">
        <v>79</v>
      </c>
      <c r="I39" s="18"/>
      <c r="J39" s="42">
        <v>270</v>
      </c>
      <c r="K39" s="16">
        <f>"147,0393"</f>
        <v>0</v>
      </c>
      <c r="L39" s="16"/>
    </row>
    <row r="40" spans="1:12" ht="14.25">
      <c r="A40" s="20" t="s">
        <v>1310</v>
      </c>
      <c r="B40" s="20" t="s">
        <v>1311</v>
      </c>
      <c r="C40" s="20" t="s">
        <v>1312</v>
      </c>
      <c r="D40" s="20">
        <f>"0,6394"</f>
        <v>0</v>
      </c>
      <c r="E40" s="20" t="s">
        <v>462</v>
      </c>
      <c r="F40" s="21" t="s">
        <v>78</v>
      </c>
      <c r="G40" s="20" t="s">
        <v>78</v>
      </c>
      <c r="H40" s="20" t="s">
        <v>42</v>
      </c>
      <c r="I40" s="21" t="s">
        <v>68</v>
      </c>
      <c r="J40" s="44">
        <v>250</v>
      </c>
      <c r="K40" s="20">
        <f>"159,8518"</f>
        <v>0</v>
      </c>
      <c r="L40" s="20"/>
    </row>
    <row r="42" spans="1:11" ht="16.5">
      <c r="A42" s="23" t="s">
        <v>140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2" ht="14.25">
      <c r="A43" s="16" t="s">
        <v>1313</v>
      </c>
      <c r="B43" s="16" t="s">
        <v>1314</v>
      </c>
      <c r="C43" s="16" t="s">
        <v>368</v>
      </c>
      <c r="D43" s="16">
        <f>"0,5115"</f>
        <v>0</v>
      </c>
      <c r="E43" s="16" t="s">
        <v>228</v>
      </c>
      <c r="F43" s="16" t="s">
        <v>68</v>
      </c>
      <c r="G43" s="18" t="s">
        <v>416</v>
      </c>
      <c r="H43" s="16" t="s">
        <v>416</v>
      </c>
      <c r="I43" s="18"/>
      <c r="J43" s="42">
        <v>285</v>
      </c>
      <c r="K43" s="16">
        <f>"145,7675"</f>
        <v>0</v>
      </c>
      <c r="L43" s="16"/>
    </row>
    <row r="44" spans="1:12" ht="14.25">
      <c r="A44" s="20" t="s">
        <v>1315</v>
      </c>
      <c r="B44" s="20" t="s">
        <v>1316</v>
      </c>
      <c r="C44" s="20" t="s">
        <v>1317</v>
      </c>
      <c r="D44" s="20">
        <f>"0,5259"</f>
        <v>0</v>
      </c>
      <c r="E44" s="20" t="s">
        <v>228</v>
      </c>
      <c r="F44" s="21" t="s">
        <v>87</v>
      </c>
      <c r="G44" s="21" t="s">
        <v>87</v>
      </c>
      <c r="H44" s="20" t="s">
        <v>87</v>
      </c>
      <c r="I44" s="21"/>
      <c r="J44" s="44">
        <v>200</v>
      </c>
      <c r="K44" s="20">
        <f>"105,1850"</f>
        <v>0</v>
      </c>
      <c r="L44" s="20"/>
    </row>
    <row r="46" ht="16.5">
      <c r="E46" s="30" t="s">
        <v>144</v>
      </c>
    </row>
    <row r="47" ht="16.5">
      <c r="E47" s="30" t="s">
        <v>145</v>
      </c>
    </row>
    <row r="48" ht="16.5">
      <c r="E48" s="30" t="s">
        <v>146</v>
      </c>
    </row>
    <row r="49" ht="14.25">
      <c r="E49" s="1" t="s">
        <v>147</v>
      </c>
    </row>
    <row r="50" ht="14.25">
      <c r="E50" s="1" t="s">
        <v>148</v>
      </c>
    </row>
    <row r="51" ht="14.25">
      <c r="E51" s="1" t="s">
        <v>149</v>
      </c>
    </row>
    <row r="54" spans="1:2" ht="18.75">
      <c r="A54" s="31" t="s">
        <v>150</v>
      </c>
      <c r="B54" s="31"/>
    </row>
    <row r="55" spans="1:2" ht="16.5">
      <c r="A55" s="32" t="s">
        <v>151</v>
      </c>
      <c r="B55" s="32"/>
    </row>
    <row r="56" spans="1:2" ht="15.75">
      <c r="A56" s="33" t="s">
        <v>152</v>
      </c>
      <c r="B56" s="34"/>
    </row>
    <row r="57" spans="1:5" ht="15.75">
      <c r="A57" s="35" t="s">
        <v>1</v>
      </c>
      <c r="B57" s="35" t="s">
        <v>153</v>
      </c>
      <c r="C57" s="35" t="s">
        <v>154</v>
      </c>
      <c r="D57" s="35" t="s">
        <v>7</v>
      </c>
      <c r="E57" s="35" t="s">
        <v>155</v>
      </c>
    </row>
    <row r="58" spans="1:5" ht="14.25">
      <c r="A58" s="36" t="s">
        <v>1279</v>
      </c>
      <c r="B58" s="1" t="s">
        <v>152</v>
      </c>
      <c r="C58" s="1" t="s">
        <v>156</v>
      </c>
      <c r="D58" s="1" t="s">
        <v>87</v>
      </c>
      <c r="E58" s="37" t="s">
        <v>1318</v>
      </c>
    </row>
    <row r="61" spans="1:2" ht="16.5">
      <c r="A61" s="32" t="s">
        <v>164</v>
      </c>
      <c r="B61" s="32"/>
    </row>
    <row r="62" spans="1:2" ht="15.75">
      <c r="A62" s="33" t="s">
        <v>165</v>
      </c>
      <c r="B62" s="34"/>
    </row>
    <row r="63" spans="1:5" ht="15.75">
      <c r="A63" s="35" t="s">
        <v>1</v>
      </c>
      <c r="B63" s="35" t="s">
        <v>153</v>
      </c>
      <c r="C63" s="35" t="s">
        <v>154</v>
      </c>
      <c r="D63" s="35" t="s">
        <v>7</v>
      </c>
      <c r="E63" s="35" t="s">
        <v>155</v>
      </c>
    </row>
    <row r="64" spans="1:5" ht="14.25">
      <c r="A64" s="36" t="s">
        <v>1223</v>
      </c>
      <c r="B64" s="1" t="s">
        <v>166</v>
      </c>
      <c r="C64" s="1" t="s">
        <v>171</v>
      </c>
      <c r="D64" s="1" t="s">
        <v>429</v>
      </c>
      <c r="E64" s="37" t="s">
        <v>1319</v>
      </c>
    </row>
    <row r="66" spans="1:2" ht="15.75">
      <c r="A66" s="33" t="s">
        <v>152</v>
      </c>
      <c r="B66" s="34"/>
    </row>
    <row r="67" spans="1:5" ht="15.75">
      <c r="A67" s="35" t="s">
        <v>1</v>
      </c>
      <c r="B67" s="35" t="s">
        <v>153</v>
      </c>
      <c r="C67" s="35" t="s">
        <v>154</v>
      </c>
      <c r="D67" s="35" t="s">
        <v>7</v>
      </c>
      <c r="E67" s="35" t="s">
        <v>155</v>
      </c>
    </row>
    <row r="68" spans="1:5" ht="14.25">
      <c r="A68" s="36" t="s">
        <v>1293</v>
      </c>
      <c r="B68" s="1" t="s">
        <v>152</v>
      </c>
      <c r="C68" s="1" t="s">
        <v>167</v>
      </c>
      <c r="D68" s="1" t="s">
        <v>370</v>
      </c>
      <c r="E68" s="37" t="s">
        <v>1320</v>
      </c>
    </row>
    <row r="69" spans="1:5" ht="14.25">
      <c r="A69" s="36" t="s">
        <v>1287</v>
      </c>
      <c r="B69" s="1" t="s">
        <v>152</v>
      </c>
      <c r="C69" s="1" t="s">
        <v>181</v>
      </c>
      <c r="D69" s="1" t="s">
        <v>416</v>
      </c>
      <c r="E69" s="37" t="s">
        <v>1321</v>
      </c>
    </row>
    <row r="70" spans="1:5" ht="14.25">
      <c r="A70" s="36" t="s">
        <v>1304</v>
      </c>
      <c r="B70" s="1" t="s">
        <v>152</v>
      </c>
      <c r="C70" s="1" t="s">
        <v>169</v>
      </c>
      <c r="D70" s="1" t="s">
        <v>98</v>
      </c>
      <c r="E70" s="37" t="s">
        <v>1322</v>
      </c>
    </row>
    <row r="71" spans="1:5" ht="14.25">
      <c r="A71" s="36" t="s">
        <v>1295</v>
      </c>
      <c r="B71" s="1" t="s">
        <v>152</v>
      </c>
      <c r="C71" s="1" t="s">
        <v>167</v>
      </c>
      <c r="D71" s="1" t="s">
        <v>104</v>
      </c>
      <c r="E71" s="37" t="s">
        <v>1323</v>
      </c>
    </row>
    <row r="72" spans="1:5" ht="14.25">
      <c r="A72" s="36" t="s">
        <v>1299</v>
      </c>
      <c r="B72" s="1" t="s">
        <v>152</v>
      </c>
      <c r="C72" s="1" t="s">
        <v>167</v>
      </c>
      <c r="D72" s="1" t="s">
        <v>79</v>
      </c>
      <c r="E72" s="37" t="s">
        <v>1324</v>
      </c>
    </row>
    <row r="73" spans="1:5" ht="14.25">
      <c r="A73" s="36" t="s">
        <v>1302</v>
      </c>
      <c r="B73" s="1" t="s">
        <v>152</v>
      </c>
      <c r="C73" s="1" t="s">
        <v>173</v>
      </c>
      <c r="D73" s="1" t="s">
        <v>79</v>
      </c>
      <c r="E73" s="37" t="s">
        <v>1325</v>
      </c>
    </row>
    <row r="74" spans="1:5" ht="14.25">
      <c r="A74" s="36" t="s">
        <v>475</v>
      </c>
      <c r="B74" s="1" t="s">
        <v>152</v>
      </c>
      <c r="C74" s="1" t="s">
        <v>175</v>
      </c>
      <c r="D74" s="1" t="s">
        <v>79</v>
      </c>
      <c r="E74" s="37" t="s">
        <v>1326</v>
      </c>
    </row>
    <row r="75" spans="1:5" ht="14.25">
      <c r="A75" s="36" t="s">
        <v>1290</v>
      </c>
      <c r="B75" s="1" t="s">
        <v>152</v>
      </c>
      <c r="C75" s="1" t="s">
        <v>181</v>
      </c>
      <c r="D75" s="1" t="s">
        <v>316</v>
      </c>
      <c r="E75" s="37" t="s">
        <v>1327</v>
      </c>
    </row>
    <row r="76" spans="1:5" ht="14.25">
      <c r="A76" s="36" t="s">
        <v>1313</v>
      </c>
      <c r="B76" s="1" t="s">
        <v>152</v>
      </c>
      <c r="C76" s="1" t="s">
        <v>194</v>
      </c>
      <c r="D76" s="1" t="s">
        <v>416</v>
      </c>
      <c r="E76" s="37" t="s">
        <v>1328</v>
      </c>
    </row>
    <row r="77" spans="1:5" ht="14.25">
      <c r="A77" s="36" t="s">
        <v>423</v>
      </c>
      <c r="B77" s="1" t="s">
        <v>152</v>
      </c>
      <c r="C77" s="1" t="s">
        <v>181</v>
      </c>
      <c r="D77" s="1" t="s">
        <v>219</v>
      </c>
      <c r="E77" s="37" t="s">
        <v>1329</v>
      </c>
    </row>
    <row r="78" spans="1:5" ht="14.25">
      <c r="A78" s="36" t="s">
        <v>1053</v>
      </c>
      <c r="B78" s="1" t="s">
        <v>152</v>
      </c>
      <c r="C78" s="1" t="s">
        <v>181</v>
      </c>
      <c r="D78" s="1" t="s">
        <v>78</v>
      </c>
      <c r="E78" s="37" t="s">
        <v>1266</v>
      </c>
    </row>
    <row r="79" spans="1:5" ht="14.25">
      <c r="A79" s="36" t="s">
        <v>1285</v>
      </c>
      <c r="B79" s="1" t="s">
        <v>152</v>
      </c>
      <c r="C79" s="1" t="s">
        <v>171</v>
      </c>
      <c r="D79" s="1" t="s">
        <v>87</v>
      </c>
      <c r="E79" s="37" t="s">
        <v>1330</v>
      </c>
    </row>
    <row r="80" spans="1:5" ht="14.25">
      <c r="A80" s="36" t="s">
        <v>1315</v>
      </c>
      <c r="B80" s="1" t="s">
        <v>152</v>
      </c>
      <c r="C80" s="1" t="s">
        <v>194</v>
      </c>
      <c r="D80" s="1" t="s">
        <v>87</v>
      </c>
      <c r="E80" s="37" t="s">
        <v>1331</v>
      </c>
    </row>
    <row r="82" spans="1:2" ht="15.75">
      <c r="A82" s="33" t="s">
        <v>160</v>
      </c>
      <c r="B82" s="34"/>
    </row>
    <row r="83" spans="1:5" ht="15.75">
      <c r="A83" s="35" t="s">
        <v>1</v>
      </c>
      <c r="B83" s="35" t="s">
        <v>153</v>
      </c>
      <c r="C83" s="35" t="s">
        <v>154</v>
      </c>
      <c r="D83" s="35" t="s">
        <v>7</v>
      </c>
      <c r="E83" s="35" t="s">
        <v>155</v>
      </c>
    </row>
    <row r="84" spans="1:5" ht="14.25">
      <c r="A84" s="36" t="s">
        <v>410</v>
      </c>
      <c r="B84" s="1" t="s">
        <v>963</v>
      </c>
      <c r="C84" s="1" t="s">
        <v>156</v>
      </c>
      <c r="D84" s="1" t="s">
        <v>486</v>
      </c>
      <c r="E84" s="37" t="s">
        <v>1332</v>
      </c>
    </row>
    <row r="85" spans="1:5" ht="14.25">
      <c r="A85" s="36" t="s">
        <v>1037</v>
      </c>
      <c r="B85" s="1" t="s">
        <v>188</v>
      </c>
      <c r="C85" s="1" t="s">
        <v>171</v>
      </c>
      <c r="D85" s="1" t="s">
        <v>68</v>
      </c>
      <c r="E85" s="37" t="s">
        <v>1204</v>
      </c>
    </row>
    <row r="86" spans="1:5" ht="14.25">
      <c r="A86" s="36" t="s">
        <v>1282</v>
      </c>
      <c r="B86" s="1" t="s">
        <v>190</v>
      </c>
      <c r="C86" s="1" t="s">
        <v>156</v>
      </c>
      <c r="D86" s="1" t="s">
        <v>131</v>
      </c>
      <c r="E86" s="37" t="s">
        <v>1333</v>
      </c>
    </row>
    <row r="87" spans="1:5" ht="14.25">
      <c r="A87" s="36" t="s">
        <v>1307</v>
      </c>
      <c r="B87" s="1" t="s">
        <v>399</v>
      </c>
      <c r="C87" s="1" t="s">
        <v>169</v>
      </c>
      <c r="D87" s="1" t="s">
        <v>105</v>
      </c>
      <c r="E87" s="37" t="s">
        <v>1334</v>
      </c>
    </row>
    <row r="88" spans="1:5" ht="14.25">
      <c r="A88" s="36" t="s">
        <v>1053</v>
      </c>
      <c r="B88" s="1" t="s">
        <v>161</v>
      </c>
      <c r="C88" s="1" t="s">
        <v>181</v>
      </c>
      <c r="D88" s="1" t="s">
        <v>78</v>
      </c>
      <c r="E88" s="37" t="s">
        <v>1274</v>
      </c>
    </row>
    <row r="89" spans="1:5" ht="14.25">
      <c r="A89" s="36" t="s">
        <v>1310</v>
      </c>
      <c r="B89" s="1" t="s">
        <v>161</v>
      </c>
      <c r="C89" s="1" t="s">
        <v>175</v>
      </c>
      <c r="D89" s="1" t="s">
        <v>42</v>
      </c>
      <c r="E89" s="37" t="s">
        <v>1335</v>
      </c>
    </row>
  </sheetData>
  <sheetProtection selectLockedCells="1" selectUnlockedCells="1"/>
  <mergeCells count="19"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K5"/>
    <mergeCell ref="A8:K8"/>
    <mergeCell ref="A12:K12"/>
    <mergeCell ref="A18:K18"/>
    <mergeCell ref="A25:K25"/>
    <mergeCell ref="A30:K30"/>
    <mergeCell ref="A34:K34"/>
    <mergeCell ref="A38:K38"/>
    <mergeCell ref="A42:K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2"/>
  <sheetViews>
    <sheetView workbookViewId="0" topLeftCell="A1">
      <selection activeCell="A8" sqref="A8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8" width="5.50390625" style="1" customWidth="1"/>
    <col min="9" max="9" width="4.50390625" style="1" customWidth="1"/>
    <col min="10" max="12" width="5.50390625" style="1" customWidth="1"/>
    <col min="13" max="13" width="4.50390625" style="1" customWidth="1"/>
    <col min="14" max="16" width="5.50390625" style="1" customWidth="1"/>
    <col min="17" max="17" width="4.50390625" style="1" customWidth="1"/>
    <col min="18" max="18" width="6.375" style="2" customWidth="1"/>
    <col min="19" max="19" width="8.50390625" style="1" customWidth="1"/>
    <col min="20" max="20" width="7.125" style="1" customWidth="1"/>
  </cols>
  <sheetData>
    <row r="1" spans="1:20" s="4" customFormat="1" ht="15" customHeight="1">
      <c r="A1" s="3" t="s">
        <v>1336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6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1" customFormat="1" ht="12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1337</v>
      </c>
      <c r="G3" s="8"/>
      <c r="H3" s="8"/>
      <c r="I3" s="8"/>
      <c r="J3" s="8" t="s">
        <v>6</v>
      </c>
      <c r="K3" s="8"/>
      <c r="L3" s="8"/>
      <c r="M3" s="8"/>
      <c r="N3" s="8" t="s">
        <v>993</v>
      </c>
      <c r="O3" s="8"/>
      <c r="P3" s="8"/>
      <c r="Q3" s="8"/>
      <c r="R3" s="9" t="s">
        <v>7</v>
      </c>
      <c r="S3" s="7" t="s">
        <v>8</v>
      </c>
      <c r="T3" s="10" t="s">
        <v>9</v>
      </c>
    </row>
    <row r="4" spans="1:20" s="11" customFormat="1" ht="23.25" customHeight="1">
      <c r="A4" s="5"/>
      <c r="B4" s="6"/>
      <c r="C4" s="6"/>
      <c r="D4" s="6"/>
      <c r="E4" s="6"/>
      <c r="F4" s="12">
        <v>1</v>
      </c>
      <c r="G4" s="13">
        <v>2</v>
      </c>
      <c r="H4" s="13">
        <v>3</v>
      </c>
      <c r="I4" s="14" t="s">
        <v>10</v>
      </c>
      <c r="J4" s="12">
        <v>1</v>
      </c>
      <c r="K4" s="13">
        <v>2</v>
      </c>
      <c r="L4" s="13">
        <v>3</v>
      </c>
      <c r="M4" s="14" t="s">
        <v>10</v>
      </c>
      <c r="N4" s="12">
        <v>1</v>
      </c>
      <c r="O4" s="13">
        <v>2</v>
      </c>
      <c r="P4" s="13">
        <v>3</v>
      </c>
      <c r="Q4" s="14" t="s">
        <v>10</v>
      </c>
      <c r="R4" s="9"/>
      <c r="S4" s="7"/>
      <c r="T4" s="10"/>
    </row>
    <row r="5" spans="1:19" ht="16.5">
      <c r="A5" s="15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0" ht="14.25">
      <c r="A6" s="27" t="s">
        <v>1338</v>
      </c>
      <c r="B6" s="27" t="s">
        <v>1339</v>
      </c>
      <c r="C6" s="27" t="s">
        <v>1340</v>
      </c>
      <c r="D6" s="27">
        <f>"1,0503"</f>
        <v>0</v>
      </c>
      <c r="E6" s="27" t="s">
        <v>327</v>
      </c>
      <c r="F6" s="27" t="s">
        <v>294</v>
      </c>
      <c r="G6" s="28" t="s">
        <v>1018</v>
      </c>
      <c r="H6" s="27" t="s">
        <v>1018</v>
      </c>
      <c r="I6" s="28"/>
      <c r="J6" s="27" t="s">
        <v>1341</v>
      </c>
      <c r="K6" s="28" t="s">
        <v>555</v>
      </c>
      <c r="L6" s="28" t="s">
        <v>555</v>
      </c>
      <c r="M6" s="28"/>
      <c r="N6" s="28" t="s">
        <v>88</v>
      </c>
      <c r="O6" s="28" t="s">
        <v>88</v>
      </c>
      <c r="P6" s="28" t="s">
        <v>88</v>
      </c>
      <c r="Q6" s="28"/>
      <c r="R6" s="29">
        <v>0</v>
      </c>
      <c r="S6" s="27">
        <f>"0,0000"</f>
        <v>0</v>
      </c>
      <c r="T6" s="27"/>
    </row>
    <row r="8" spans="1:19" ht="16.5">
      <c r="A8" s="23" t="s">
        <v>49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20" ht="14.25">
      <c r="A9" s="27" t="s">
        <v>1342</v>
      </c>
      <c r="B9" s="27" t="s">
        <v>1343</v>
      </c>
      <c r="C9" s="27" t="s">
        <v>677</v>
      </c>
      <c r="D9" s="27">
        <f>"0,8133"</f>
        <v>0</v>
      </c>
      <c r="E9" s="27" t="s">
        <v>562</v>
      </c>
      <c r="F9" s="27" t="s">
        <v>35</v>
      </c>
      <c r="G9" s="28"/>
      <c r="H9" s="28"/>
      <c r="I9" s="28"/>
      <c r="J9" s="27"/>
      <c r="K9" s="27" t="s">
        <v>17</v>
      </c>
      <c r="L9" s="28"/>
      <c r="M9" s="28"/>
      <c r="N9" s="27" t="s">
        <v>540</v>
      </c>
      <c r="O9" s="28"/>
      <c r="P9" s="28"/>
      <c r="Q9" s="28"/>
      <c r="R9" s="29" t="s">
        <v>1344</v>
      </c>
      <c r="S9" s="27" t="s">
        <v>1345</v>
      </c>
      <c r="T9" s="27"/>
    </row>
    <row r="11" spans="1:19" ht="16.5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20" ht="14.25">
      <c r="A12" s="20" t="s">
        <v>410</v>
      </c>
      <c r="B12" s="20" t="s">
        <v>411</v>
      </c>
      <c r="C12" s="20" t="s">
        <v>1346</v>
      </c>
      <c r="D12" s="20">
        <f>"1,4315"</f>
        <v>0</v>
      </c>
      <c r="E12" s="20" t="s">
        <v>412</v>
      </c>
      <c r="F12" s="20" t="s">
        <v>774</v>
      </c>
      <c r="G12" s="21" t="s">
        <v>54</v>
      </c>
      <c r="H12" s="20" t="s">
        <v>54</v>
      </c>
      <c r="I12" s="21"/>
      <c r="J12" s="20" t="s">
        <v>217</v>
      </c>
      <c r="K12" s="21" t="s">
        <v>17</v>
      </c>
      <c r="L12" s="20" t="s">
        <v>17</v>
      </c>
      <c r="M12" s="21"/>
      <c r="N12" s="20" t="s">
        <v>1347</v>
      </c>
      <c r="O12" s="20" t="s">
        <v>312</v>
      </c>
      <c r="P12" s="21"/>
      <c r="Q12" s="21"/>
      <c r="R12" s="22">
        <v>422.5</v>
      </c>
      <c r="S12" s="20">
        <f>"604,8151"</f>
        <v>0</v>
      </c>
      <c r="T12" s="20"/>
    </row>
    <row r="14" spans="1:19" ht="16.5">
      <c r="A14" s="23" t="s">
        <v>49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20" ht="14.25">
      <c r="A15" s="24" t="s">
        <v>1348</v>
      </c>
      <c r="B15" s="24" t="s">
        <v>1349</v>
      </c>
      <c r="C15" s="24" t="s">
        <v>692</v>
      </c>
      <c r="D15" s="24">
        <f>"0,6878"</f>
        <v>0</v>
      </c>
      <c r="E15" s="24" t="s">
        <v>58</v>
      </c>
      <c r="F15" s="24" t="s">
        <v>1350</v>
      </c>
      <c r="G15" s="25" t="s">
        <v>349</v>
      </c>
      <c r="H15" s="25" t="s">
        <v>349</v>
      </c>
      <c r="I15" s="25"/>
      <c r="J15" s="24" t="s">
        <v>527</v>
      </c>
      <c r="K15" s="25" t="s">
        <v>349</v>
      </c>
      <c r="L15" s="25" t="s">
        <v>22</v>
      </c>
      <c r="M15" s="25"/>
      <c r="N15" s="24" t="s">
        <v>88</v>
      </c>
      <c r="O15" s="24" t="s">
        <v>78</v>
      </c>
      <c r="P15" s="25" t="s">
        <v>429</v>
      </c>
      <c r="Q15" s="25"/>
      <c r="R15" s="26" t="s">
        <v>1351</v>
      </c>
      <c r="S15" s="24" t="s">
        <v>1352</v>
      </c>
      <c r="T15" s="24"/>
    </row>
    <row r="16" spans="1:20" ht="14.25">
      <c r="A16" s="16" t="s">
        <v>1353</v>
      </c>
      <c r="B16" s="16" t="s">
        <v>1354</v>
      </c>
      <c r="C16" s="16" t="s">
        <v>1355</v>
      </c>
      <c r="D16" s="16">
        <f>"0,6567"</f>
        <v>0</v>
      </c>
      <c r="E16" s="16" t="s">
        <v>228</v>
      </c>
      <c r="F16" s="18" t="s">
        <v>486</v>
      </c>
      <c r="G16" s="18" t="s">
        <v>47</v>
      </c>
      <c r="H16" s="16" t="s">
        <v>47</v>
      </c>
      <c r="I16" s="18"/>
      <c r="J16" s="16" t="s">
        <v>16</v>
      </c>
      <c r="K16" s="16" t="s">
        <v>18</v>
      </c>
      <c r="L16" s="18" t="s">
        <v>1356</v>
      </c>
      <c r="M16" s="18"/>
      <c r="N16" s="16" t="s">
        <v>54</v>
      </c>
      <c r="O16" s="16" t="s">
        <v>47</v>
      </c>
      <c r="P16" s="16" t="s">
        <v>87</v>
      </c>
      <c r="Q16" s="18"/>
      <c r="R16" s="19">
        <v>495</v>
      </c>
      <c r="S16" s="16">
        <f>"325,0665"</f>
        <v>0</v>
      </c>
      <c r="T16" s="16"/>
    </row>
    <row r="17" spans="1:20" ht="14.25">
      <c r="A17" s="20" t="s">
        <v>417</v>
      </c>
      <c r="B17" s="20" t="s">
        <v>419</v>
      </c>
      <c r="C17" s="20" t="s">
        <v>249</v>
      </c>
      <c r="D17" s="20">
        <f>"0,8510"</f>
        <v>0</v>
      </c>
      <c r="E17" s="20" t="s">
        <v>223</v>
      </c>
      <c r="F17" s="20" t="s">
        <v>1357</v>
      </c>
      <c r="G17" s="21" t="s">
        <v>42</v>
      </c>
      <c r="H17" s="21" t="s">
        <v>42</v>
      </c>
      <c r="I17" s="21"/>
      <c r="J17" s="20" t="s">
        <v>131</v>
      </c>
      <c r="K17" s="21" t="s">
        <v>88</v>
      </c>
      <c r="L17" s="21"/>
      <c r="M17" s="21"/>
      <c r="N17" s="20" t="s">
        <v>594</v>
      </c>
      <c r="O17" s="20" t="s">
        <v>54</v>
      </c>
      <c r="P17" s="21" t="s">
        <v>42</v>
      </c>
      <c r="Q17" s="21"/>
      <c r="R17" s="22">
        <v>340</v>
      </c>
      <c r="S17" s="20">
        <f>"289,3408"</f>
        <v>0</v>
      </c>
      <c r="T17" s="20"/>
    </row>
    <row r="19" spans="1:19" ht="16.5">
      <c r="A19" s="23" t="s">
        <v>63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20" ht="14.25">
      <c r="A20" s="16" t="s">
        <v>1227</v>
      </c>
      <c r="B20" s="16" t="s">
        <v>1228</v>
      </c>
      <c r="C20" s="16" t="s">
        <v>425</v>
      </c>
      <c r="D20" s="16">
        <f>"0,6126"</f>
        <v>0</v>
      </c>
      <c r="E20" s="16" t="s">
        <v>58</v>
      </c>
      <c r="F20" s="16" t="s">
        <v>42</v>
      </c>
      <c r="G20" s="16" t="s">
        <v>79</v>
      </c>
      <c r="H20" s="16" t="s">
        <v>110</v>
      </c>
      <c r="I20" s="18"/>
      <c r="J20" s="16" t="s">
        <v>46</v>
      </c>
      <c r="K20" s="18" t="s">
        <v>349</v>
      </c>
      <c r="L20" s="18"/>
      <c r="M20" s="18"/>
      <c r="N20" s="16" t="s">
        <v>54</v>
      </c>
      <c r="O20" s="18"/>
      <c r="P20" s="18"/>
      <c r="Q20" s="18"/>
      <c r="R20" s="19">
        <v>612.5</v>
      </c>
      <c r="S20" s="16">
        <f>"375,2175"</f>
        <v>0</v>
      </c>
      <c r="T20" s="16"/>
    </row>
    <row r="21" spans="1:20" ht="14.25">
      <c r="A21" s="20" t="s">
        <v>1358</v>
      </c>
      <c r="B21" s="20" t="s">
        <v>1359</v>
      </c>
      <c r="C21" s="20" t="s">
        <v>428</v>
      </c>
      <c r="D21" s="20">
        <f>"0,6122"</f>
        <v>0</v>
      </c>
      <c r="E21" s="20" t="s">
        <v>327</v>
      </c>
      <c r="F21" s="21" t="s">
        <v>353</v>
      </c>
      <c r="G21" s="21" t="s">
        <v>353</v>
      </c>
      <c r="H21" s="21" t="s">
        <v>353</v>
      </c>
      <c r="I21" s="21"/>
      <c r="J21" s="21" t="s">
        <v>93</v>
      </c>
      <c r="K21" s="21"/>
      <c r="L21" s="21"/>
      <c r="M21" s="21"/>
      <c r="N21" s="21"/>
      <c r="O21" s="21"/>
      <c r="P21" s="21"/>
      <c r="Q21" s="21"/>
      <c r="R21" s="22">
        <v>0</v>
      </c>
      <c r="S21" s="20">
        <f>"0,0000"</f>
        <v>0</v>
      </c>
      <c r="T21" s="20"/>
    </row>
    <row r="23" spans="1:19" ht="16.5">
      <c r="A23" s="23" t="s">
        <v>69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20" ht="14.25">
      <c r="A24" s="16" t="s">
        <v>1360</v>
      </c>
      <c r="B24" s="16" t="s">
        <v>1361</v>
      </c>
      <c r="C24" s="16" t="s">
        <v>86</v>
      </c>
      <c r="D24" s="16">
        <f>"0,5813"</f>
        <v>0</v>
      </c>
      <c r="E24" s="16" t="s">
        <v>232</v>
      </c>
      <c r="F24" s="18" t="s">
        <v>1362</v>
      </c>
      <c r="G24" s="16" t="s">
        <v>1256</v>
      </c>
      <c r="H24" s="18"/>
      <c r="I24" s="18"/>
      <c r="J24" s="16" t="s">
        <v>333</v>
      </c>
      <c r="K24" s="18" t="s">
        <v>441</v>
      </c>
      <c r="L24" s="18"/>
      <c r="M24" s="18"/>
      <c r="N24" s="16" t="s">
        <v>333</v>
      </c>
      <c r="O24" s="18" t="s">
        <v>353</v>
      </c>
      <c r="P24" s="18"/>
      <c r="Q24" s="18"/>
      <c r="R24" s="19">
        <v>960</v>
      </c>
      <c r="S24" s="16">
        <f>"558,0480"</f>
        <v>0</v>
      </c>
      <c r="T24" s="16"/>
    </row>
    <row r="25" spans="1:20" ht="14.25">
      <c r="A25" s="24" t="s">
        <v>1363</v>
      </c>
      <c r="B25" s="24" t="s">
        <v>1364</v>
      </c>
      <c r="C25" s="24" t="s">
        <v>1365</v>
      </c>
      <c r="D25" s="24">
        <f>"0,6119"</f>
        <v>0</v>
      </c>
      <c r="E25" s="24" t="s">
        <v>562</v>
      </c>
      <c r="F25" s="25" t="s">
        <v>1366</v>
      </c>
      <c r="G25" s="24" t="s">
        <v>435</v>
      </c>
      <c r="H25" s="24" t="s">
        <v>474</v>
      </c>
      <c r="I25" s="25"/>
      <c r="J25" s="24" t="s">
        <v>46</v>
      </c>
      <c r="K25" s="24" t="s">
        <v>93</v>
      </c>
      <c r="L25" s="24" t="s">
        <v>47</v>
      </c>
      <c r="M25" s="25"/>
      <c r="N25" s="24" t="s">
        <v>41</v>
      </c>
      <c r="O25" s="24" t="s">
        <v>68</v>
      </c>
      <c r="P25" s="25" t="s">
        <v>283</v>
      </c>
      <c r="Q25" s="25"/>
      <c r="R25" s="26">
        <v>805</v>
      </c>
      <c r="S25" s="24">
        <f>"492,5601"</f>
        <v>0</v>
      </c>
      <c r="T25" s="24"/>
    </row>
    <row r="26" spans="1:20" ht="14.25">
      <c r="A26" s="20" t="s">
        <v>1367</v>
      </c>
      <c r="B26" s="20" t="s">
        <v>1368</v>
      </c>
      <c r="C26" s="20" t="s">
        <v>767</v>
      </c>
      <c r="D26" s="20">
        <f>"0,7048"</f>
        <v>0</v>
      </c>
      <c r="E26" s="20" t="s">
        <v>15</v>
      </c>
      <c r="F26" s="21" t="s">
        <v>725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>
        <v>0</v>
      </c>
      <c r="S26" s="20">
        <f>"0,0000"</f>
        <v>0</v>
      </c>
      <c r="T26" s="20"/>
    </row>
    <row r="28" spans="1:19" ht="16.5">
      <c r="A28" s="23" t="s">
        <v>94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20" ht="14.25">
      <c r="A29" s="16" t="s">
        <v>1369</v>
      </c>
      <c r="B29" s="16" t="s">
        <v>1370</v>
      </c>
      <c r="C29" s="16" t="s">
        <v>293</v>
      </c>
      <c r="D29" s="16">
        <f>"0,5627"</f>
        <v>0</v>
      </c>
      <c r="E29" s="16" t="s">
        <v>228</v>
      </c>
      <c r="F29" s="18" t="s">
        <v>40</v>
      </c>
      <c r="G29" s="18" t="s">
        <v>40</v>
      </c>
      <c r="H29" s="16" t="s">
        <v>40</v>
      </c>
      <c r="I29" s="18"/>
      <c r="J29" s="16" t="s">
        <v>93</v>
      </c>
      <c r="K29" s="16" t="s">
        <v>224</v>
      </c>
      <c r="L29" s="18" t="s">
        <v>349</v>
      </c>
      <c r="M29" s="18"/>
      <c r="N29" s="16" t="s">
        <v>40</v>
      </c>
      <c r="O29" s="16" t="s">
        <v>42</v>
      </c>
      <c r="P29" s="18" t="s">
        <v>282</v>
      </c>
      <c r="Q29" s="18"/>
      <c r="R29" s="19">
        <v>657.5</v>
      </c>
      <c r="S29" s="16">
        <f>"369,9424"</f>
        <v>0</v>
      </c>
      <c r="T29" s="16"/>
    </row>
    <row r="30" spans="1:20" ht="14.25">
      <c r="A30" s="24" t="s">
        <v>1371</v>
      </c>
      <c r="B30" s="24" t="s">
        <v>1372</v>
      </c>
      <c r="C30" s="24" t="s">
        <v>308</v>
      </c>
      <c r="D30" s="24">
        <f>"0,5674"</f>
        <v>0</v>
      </c>
      <c r="E30" s="24" t="s">
        <v>232</v>
      </c>
      <c r="F30" s="25" t="s">
        <v>353</v>
      </c>
      <c r="G30" s="25" t="s">
        <v>472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>
        <v>0</v>
      </c>
      <c r="S30" s="24">
        <f>"0,0000"</f>
        <v>0</v>
      </c>
      <c r="T30" s="24"/>
    </row>
    <row r="31" spans="1:20" ht="14.25">
      <c r="A31" s="24" t="s">
        <v>1373</v>
      </c>
      <c r="B31" s="24" t="s">
        <v>1374</v>
      </c>
      <c r="C31" s="24" t="s">
        <v>1375</v>
      </c>
      <c r="D31" s="24">
        <f>"0,6171"</f>
        <v>0</v>
      </c>
      <c r="E31" s="24" t="s">
        <v>15</v>
      </c>
      <c r="F31" s="24" t="s">
        <v>1067</v>
      </c>
      <c r="G31" s="24" t="s">
        <v>435</v>
      </c>
      <c r="H31" s="25" t="s">
        <v>349</v>
      </c>
      <c r="I31" s="25"/>
      <c r="J31" s="24" t="s">
        <v>486</v>
      </c>
      <c r="K31" s="25" t="s">
        <v>349</v>
      </c>
      <c r="L31" s="25"/>
      <c r="M31" s="25"/>
      <c r="N31" s="24" t="s">
        <v>40</v>
      </c>
      <c r="O31" s="24" t="s">
        <v>41</v>
      </c>
      <c r="P31" s="25"/>
      <c r="Q31" s="25"/>
      <c r="R31" s="26">
        <v>750</v>
      </c>
      <c r="S31" s="24">
        <f>"462,7984"</f>
        <v>0</v>
      </c>
      <c r="T31" s="24"/>
    </row>
    <row r="32" spans="1:20" ht="14.25">
      <c r="A32" s="20" t="s">
        <v>1376</v>
      </c>
      <c r="B32" s="20" t="s">
        <v>1377</v>
      </c>
      <c r="C32" s="20" t="s">
        <v>1378</v>
      </c>
      <c r="D32" s="20">
        <f>"0,6153"</f>
        <v>0</v>
      </c>
      <c r="E32" s="20" t="s">
        <v>327</v>
      </c>
      <c r="F32" s="21" t="s">
        <v>105</v>
      </c>
      <c r="G32" s="21" t="s">
        <v>105</v>
      </c>
      <c r="H32" s="21" t="s">
        <v>105</v>
      </c>
      <c r="I32" s="21"/>
      <c r="J32" s="21"/>
      <c r="K32" s="21"/>
      <c r="L32" s="21"/>
      <c r="M32" s="21"/>
      <c r="N32" s="21"/>
      <c r="O32" s="21"/>
      <c r="P32" s="21"/>
      <c r="Q32" s="21"/>
      <c r="R32" s="22">
        <v>0</v>
      </c>
      <c r="S32" s="20">
        <f>"0,0000"</f>
        <v>0</v>
      </c>
      <c r="T32" s="20"/>
    </row>
    <row r="34" spans="1:19" ht="16.5">
      <c r="A34" s="23" t="s">
        <v>127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20" ht="14.25">
      <c r="A35" s="16" t="s">
        <v>1379</v>
      </c>
      <c r="B35" s="16" t="s">
        <v>1380</v>
      </c>
      <c r="C35" s="16" t="s">
        <v>834</v>
      </c>
      <c r="D35" s="16">
        <f>"0,5534"</f>
        <v>0</v>
      </c>
      <c r="E35" s="16" t="s">
        <v>58</v>
      </c>
      <c r="F35" s="18" t="s">
        <v>353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>
        <v>0</v>
      </c>
      <c r="S35" s="16">
        <f>"0,0000"</f>
        <v>0</v>
      </c>
      <c r="T35" s="16"/>
    </row>
    <row r="36" spans="1:20" ht="14.25">
      <c r="A36" s="24" t="s">
        <v>1232</v>
      </c>
      <c r="B36" s="24" t="s">
        <v>1233</v>
      </c>
      <c r="C36" s="24" t="s">
        <v>1381</v>
      </c>
      <c r="D36" s="24">
        <f>"0,5597"</f>
        <v>0</v>
      </c>
      <c r="E36" s="24" t="s">
        <v>1382</v>
      </c>
      <c r="F36" s="25" t="s">
        <v>1383</v>
      </c>
      <c r="G36" s="24" t="s">
        <v>1384</v>
      </c>
      <c r="H36" s="25" t="s">
        <v>1385</v>
      </c>
      <c r="I36" s="25"/>
      <c r="J36" s="24" t="s">
        <v>79</v>
      </c>
      <c r="K36" s="24" t="s">
        <v>333</v>
      </c>
      <c r="L36" s="25"/>
      <c r="M36" s="25"/>
      <c r="N36" s="24" t="s">
        <v>472</v>
      </c>
      <c r="O36" s="24" t="s">
        <v>344</v>
      </c>
      <c r="P36" s="25"/>
      <c r="Q36" s="25"/>
      <c r="R36" s="26">
        <v>1110</v>
      </c>
      <c r="S36" s="24">
        <f>"621,2947"</f>
        <v>0</v>
      </c>
      <c r="T36" s="24"/>
    </row>
    <row r="37" spans="1:20" ht="14.25">
      <c r="A37" s="24" t="s">
        <v>1307</v>
      </c>
      <c r="B37" s="24" t="s">
        <v>1308</v>
      </c>
      <c r="C37" s="24" t="s">
        <v>1386</v>
      </c>
      <c r="D37" s="24">
        <f>"0,5670"</f>
        <v>0</v>
      </c>
      <c r="E37" s="24" t="s">
        <v>462</v>
      </c>
      <c r="F37" s="24" t="s">
        <v>435</v>
      </c>
      <c r="G37" s="25" t="s">
        <v>464</v>
      </c>
      <c r="H37" s="25"/>
      <c r="I37" s="25"/>
      <c r="J37" s="24" t="s">
        <v>416</v>
      </c>
      <c r="K37" s="25" t="s">
        <v>353</v>
      </c>
      <c r="L37" s="25" t="s">
        <v>353</v>
      </c>
      <c r="M37" s="25"/>
      <c r="N37" s="24" t="s">
        <v>333</v>
      </c>
      <c r="O37" s="25" t="s">
        <v>353</v>
      </c>
      <c r="P37" s="25" t="s">
        <v>353</v>
      </c>
      <c r="Q37" s="25"/>
      <c r="R37" s="26" t="s">
        <v>1387</v>
      </c>
      <c r="S37" s="24" t="s">
        <v>1388</v>
      </c>
      <c r="T37" s="24"/>
    </row>
    <row r="38" spans="1:20" ht="14.25">
      <c r="A38" s="20" t="s">
        <v>1389</v>
      </c>
      <c r="B38" s="20" t="s">
        <v>1390</v>
      </c>
      <c r="C38" s="20" t="s">
        <v>1391</v>
      </c>
      <c r="D38" s="20">
        <f>"0,6910"</f>
        <v>0</v>
      </c>
      <c r="E38" s="20" t="s">
        <v>15</v>
      </c>
      <c r="F38" s="20" t="s">
        <v>42</v>
      </c>
      <c r="G38" s="21" t="s">
        <v>283</v>
      </c>
      <c r="H38" s="20" t="s">
        <v>283</v>
      </c>
      <c r="I38" s="21"/>
      <c r="J38" s="20" t="s">
        <v>46</v>
      </c>
      <c r="K38" s="21" t="s">
        <v>212</v>
      </c>
      <c r="L38" s="20" t="s">
        <v>87</v>
      </c>
      <c r="M38" s="21"/>
      <c r="N38" s="20" t="s">
        <v>41</v>
      </c>
      <c r="O38" s="20" t="s">
        <v>282</v>
      </c>
      <c r="P38" s="21"/>
      <c r="Q38" s="21"/>
      <c r="R38" s="22">
        <v>740</v>
      </c>
      <c r="S38" s="20">
        <f>"511,3634"</f>
        <v>0</v>
      </c>
      <c r="T38" s="20"/>
    </row>
    <row r="40" spans="1:19" ht="16.5">
      <c r="A40" s="23" t="s">
        <v>135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20" ht="14.25">
      <c r="A41" s="16" t="s">
        <v>1392</v>
      </c>
      <c r="B41" s="16" t="s">
        <v>1393</v>
      </c>
      <c r="C41" s="16" t="s">
        <v>471</v>
      </c>
      <c r="D41" s="16">
        <f>"0,5409"</f>
        <v>0</v>
      </c>
      <c r="E41" s="16" t="s">
        <v>509</v>
      </c>
      <c r="F41" s="18" t="s">
        <v>1362</v>
      </c>
      <c r="G41" s="18" t="s">
        <v>1256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>
        <v>0</v>
      </c>
      <c r="S41" s="16">
        <f>"0,0000"</f>
        <v>0</v>
      </c>
      <c r="T41" s="16"/>
    </row>
    <row r="42" spans="1:20" ht="14.25">
      <c r="A42" s="24" t="s">
        <v>350</v>
      </c>
      <c r="B42" s="24" t="s">
        <v>351</v>
      </c>
      <c r="C42" s="24" t="s">
        <v>1394</v>
      </c>
      <c r="D42" s="24">
        <f>"0,5365"</f>
        <v>0</v>
      </c>
      <c r="E42" s="24" t="s">
        <v>228</v>
      </c>
      <c r="F42" s="24" t="s">
        <v>1256</v>
      </c>
      <c r="G42" s="24" t="s">
        <v>1395</v>
      </c>
      <c r="H42" s="25" t="s">
        <v>1384</v>
      </c>
      <c r="I42" s="25"/>
      <c r="J42" s="24" t="s">
        <v>370</v>
      </c>
      <c r="K42" s="24" t="s">
        <v>364</v>
      </c>
      <c r="L42" s="25" t="s">
        <v>344</v>
      </c>
      <c r="M42" s="25"/>
      <c r="N42" s="24"/>
      <c r="O42" s="24" t="s">
        <v>298</v>
      </c>
      <c r="P42" s="25" t="s">
        <v>100</v>
      </c>
      <c r="Q42" s="25"/>
      <c r="R42" s="26">
        <v>1080</v>
      </c>
      <c r="S42" s="24">
        <f>"579,3876"</f>
        <v>0</v>
      </c>
      <c r="T42" s="24"/>
    </row>
    <row r="43" spans="1:20" ht="14.25">
      <c r="A43" s="24" t="s">
        <v>1396</v>
      </c>
      <c r="B43" s="24" t="s">
        <v>1397</v>
      </c>
      <c r="C43" s="24" t="s">
        <v>1398</v>
      </c>
      <c r="D43" s="24">
        <f>"0,5410"</f>
        <v>0</v>
      </c>
      <c r="E43" s="24" t="s">
        <v>211</v>
      </c>
      <c r="F43" s="25" t="s">
        <v>1399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>
        <v>0</v>
      </c>
      <c r="S43" s="24">
        <f aca="true" t="shared" si="0" ref="S43:S44">"0,0000"</f>
        <v>0</v>
      </c>
      <c r="T43" s="24"/>
    </row>
    <row r="44" spans="1:20" ht="14.25">
      <c r="A44" s="20" t="s">
        <v>1400</v>
      </c>
      <c r="B44" s="20" t="s">
        <v>1401</v>
      </c>
      <c r="C44" s="20" t="s">
        <v>1402</v>
      </c>
      <c r="D44" s="20">
        <f>"0,6605"</f>
        <v>0</v>
      </c>
      <c r="E44" s="20" t="s">
        <v>327</v>
      </c>
      <c r="F44" s="21" t="s">
        <v>362</v>
      </c>
      <c r="G44" s="21" t="s">
        <v>362</v>
      </c>
      <c r="H44" s="21" t="s">
        <v>362</v>
      </c>
      <c r="I44" s="21"/>
      <c r="J44" s="21"/>
      <c r="K44" s="21"/>
      <c r="L44" s="21"/>
      <c r="M44" s="21"/>
      <c r="N44" s="21"/>
      <c r="O44" s="21"/>
      <c r="P44" s="21"/>
      <c r="Q44" s="21"/>
      <c r="R44" s="22">
        <v>0</v>
      </c>
      <c r="S44" s="20">
        <f t="shared" si="0"/>
        <v>0</v>
      </c>
      <c r="T44" s="20"/>
    </row>
    <row r="46" spans="1:19" ht="16.5">
      <c r="A46" s="23" t="s">
        <v>140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20" ht="14.25">
      <c r="A47" s="27" t="s">
        <v>1315</v>
      </c>
      <c r="B47" s="27" t="s">
        <v>1316</v>
      </c>
      <c r="C47" s="27" t="s">
        <v>1403</v>
      </c>
      <c r="D47" s="27">
        <f>"0,5262"</f>
        <v>0</v>
      </c>
      <c r="E47" s="27" t="s">
        <v>228</v>
      </c>
      <c r="F47" s="28" t="s">
        <v>42</v>
      </c>
      <c r="G47" s="28" t="s">
        <v>42</v>
      </c>
      <c r="H47" s="28" t="s">
        <v>42</v>
      </c>
      <c r="I47" s="28"/>
      <c r="J47" s="28" t="s">
        <v>93</v>
      </c>
      <c r="K47" s="28"/>
      <c r="L47" s="28"/>
      <c r="M47" s="28"/>
      <c r="N47" s="28"/>
      <c r="O47" s="28"/>
      <c r="P47" s="28"/>
      <c r="Q47" s="28"/>
      <c r="R47" s="29">
        <v>0</v>
      </c>
      <c r="S47" s="27">
        <f>"0,0000"</f>
        <v>0</v>
      </c>
      <c r="T47" s="27"/>
    </row>
    <row r="49" ht="16.5">
      <c r="E49" s="30" t="s">
        <v>144</v>
      </c>
    </row>
    <row r="50" ht="16.5">
      <c r="E50" s="30" t="s">
        <v>145</v>
      </c>
    </row>
    <row r="51" ht="16.5">
      <c r="E51" s="30" t="s">
        <v>146</v>
      </c>
    </row>
    <row r="52" ht="14.25">
      <c r="E52" s="1" t="s">
        <v>147</v>
      </c>
    </row>
    <row r="53" ht="14.25">
      <c r="E53" s="1" t="s">
        <v>148</v>
      </c>
    </row>
    <row r="54" ht="14.25">
      <c r="E54" s="1" t="s">
        <v>149</v>
      </c>
    </row>
    <row r="56" spans="1:2" ht="18.75">
      <c r="A56" s="31"/>
      <c r="B56" s="31"/>
    </row>
    <row r="57" spans="1:2" ht="18.75">
      <c r="A57" s="31" t="s">
        <v>150</v>
      </c>
      <c r="B57" s="31"/>
    </row>
    <row r="58" spans="1:2" ht="16.5">
      <c r="A58" s="32" t="s">
        <v>151</v>
      </c>
      <c r="B58" s="32"/>
    </row>
    <row r="59" spans="1:2" ht="15.75">
      <c r="A59" s="33" t="s">
        <v>160</v>
      </c>
      <c r="B59" s="34"/>
    </row>
    <row r="60" spans="1:5" ht="15.75">
      <c r="A60" s="35" t="s">
        <v>1</v>
      </c>
      <c r="B60" s="35" t="s">
        <v>153</v>
      </c>
      <c r="C60" s="35" t="s">
        <v>154</v>
      </c>
      <c r="D60" s="35" t="s">
        <v>7</v>
      </c>
      <c r="E60" s="35" t="s">
        <v>155</v>
      </c>
    </row>
    <row r="61" spans="1:5" ht="14.25">
      <c r="A61" s="36" t="s">
        <v>1342</v>
      </c>
      <c r="B61" s="1" t="s">
        <v>399</v>
      </c>
      <c r="C61" s="1" t="s">
        <v>171</v>
      </c>
      <c r="D61" s="1" t="s">
        <v>47</v>
      </c>
      <c r="E61" s="37" t="s">
        <v>1404</v>
      </c>
    </row>
    <row r="64" spans="1:2" ht="16.5">
      <c r="A64" s="32" t="s">
        <v>164</v>
      </c>
      <c r="B64" s="32"/>
    </row>
    <row r="65" spans="1:2" ht="15.75">
      <c r="A65" s="33" t="s">
        <v>152</v>
      </c>
      <c r="B65" s="34"/>
    </row>
    <row r="66" spans="1:5" ht="15.75">
      <c r="A66" s="35" t="s">
        <v>1</v>
      </c>
      <c r="B66" s="35" t="s">
        <v>153</v>
      </c>
      <c r="C66" s="35" t="s">
        <v>154</v>
      </c>
      <c r="D66" s="35" t="s">
        <v>7</v>
      </c>
      <c r="E66" s="35" t="s">
        <v>155</v>
      </c>
    </row>
    <row r="67" spans="1:5" ht="14.25">
      <c r="A67" s="36" t="s">
        <v>350</v>
      </c>
      <c r="B67" s="1" t="s">
        <v>152</v>
      </c>
      <c r="C67" s="1" t="s">
        <v>175</v>
      </c>
      <c r="D67" s="1" t="s">
        <v>1405</v>
      </c>
      <c r="E67" s="37" t="s">
        <v>1406</v>
      </c>
    </row>
    <row r="68" spans="1:5" ht="14.25">
      <c r="A68" s="36" t="s">
        <v>1360</v>
      </c>
      <c r="B68" s="1" t="s">
        <v>152</v>
      </c>
      <c r="C68" s="1" t="s">
        <v>167</v>
      </c>
      <c r="D68" s="1" t="s">
        <v>1407</v>
      </c>
      <c r="E68" s="37" t="s">
        <v>1408</v>
      </c>
    </row>
    <row r="69" spans="1:5" ht="14.25">
      <c r="A69" s="36" t="s">
        <v>1227</v>
      </c>
      <c r="B69" s="1" t="s">
        <v>152</v>
      </c>
      <c r="C69" s="1" t="s">
        <v>181</v>
      </c>
      <c r="D69" s="1" t="s">
        <v>1409</v>
      </c>
      <c r="E69" s="37" t="s">
        <v>1410</v>
      </c>
    </row>
    <row r="70" spans="1:5" ht="14.25">
      <c r="A70" s="36" t="s">
        <v>1369</v>
      </c>
      <c r="B70" s="1" t="s">
        <v>152</v>
      </c>
      <c r="C70" s="1" t="s">
        <v>173</v>
      </c>
      <c r="D70" s="1" t="s">
        <v>1411</v>
      </c>
      <c r="E70" s="37" t="s">
        <v>1412</v>
      </c>
    </row>
    <row r="71" spans="1:5" ht="14.25">
      <c r="A71" s="36" t="s">
        <v>1353</v>
      </c>
      <c r="B71" s="1" t="s">
        <v>152</v>
      </c>
      <c r="C71" s="1" t="s">
        <v>171</v>
      </c>
      <c r="D71" s="1" t="s">
        <v>1413</v>
      </c>
      <c r="E71" s="37" t="s">
        <v>1414</v>
      </c>
    </row>
    <row r="72" spans="1:5" ht="14.25">
      <c r="A72" s="36" t="s">
        <v>1348</v>
      </c>
      <c r="B72" s="1" t="s">
        <v>152</v>
      </c>
      <c r="C72" s="1" t="s">
        <v>171</v>
      </c>
      <c r="D72" s="1" t="s">
        <v>98</v>
      </c>
      <c r="E72" s="37" t="s">
        <v>1415</v>
      </c>
    </row>
    <row r="74" spans="1:2" ht="15.75">
      <c r="A74" s="33" t="s">
        <v>160</v>
      </c>
      <c r="B74" s="34"/>
    </row>
    <row r="75" spans="1:5" ht="15.75">
      <c r="A75" s="35" t="s">
        <v>1</v>
      </c>
      <c r="B75" s="35" t="s">
        <v>153</v>
      </c>
      <c r="C75" s="35" t="s">
        <v>154</v>
      </c>
      <c r="D75" s="35" t="s">
        <v>7</v>
      </c>
      <c r="E75" s="35" t="s">
        <v>155</v>
      </c>
    </row>
    <row r="76" spans="1:5" ht="14.25">
      <c r="A76" s="36" t="s">
        <v>1232</v>
      </c>
      <c r="B76" s="1" t="s">
        <v>399</v>
      </c>
      <c r="C76" s="1" t="s">
        <v>169</v>
      </c>
      <c r="D76" s="1" t="s">
        <v>1416</v>
      </c>
      <c r="E76" s="37" t="s">
        <v>1417</v>
      </c>
    </row>
    <row r="77" spans="1:5" ht="14.25">
      <c r="A77" s="36" t="s">
        <v>410</v>
      </c>
      <c r="B77" s="1" t="s">
        <v>963</v>
      </c>
      <c r="C77" s="1" t="s">
        <v>156</v>
      </c>
      <c r="D77" s="1" t="s">
        <v>1418</v>
      </c>
      <c r="E77" s="37" t="s">
        <v>1419</v>
      </c>
    </row>
    <row r="78" spans="1:5" ht="14.25">
      <c r="A78" s="36" t="s">
        <v>1389</v>
      </c>
      <c r="B78" s="1" t="s">
        <v>190</v>
      </c>
      <c r="C78" s="1" t="s">
        <v>169</v>
      </c>
      <c r="D78" s="1" t="s">
        <v>1420</v>
      </c>
      <c r="E78" s="37" t="s">
        <v>1421</v>
      </c>
    </row>
    <row r="79" spans="1:5" ht="14.25">
      <c r="A79" s="36" t="s">
        <v>1363</v>
      </c>
      <c r="B79" s="1" t="s">
        <v>399</v>
      </c>
      <c r="C79" s="1" t="s">
        <v>167</v>
      </c>
      <c r="D79" s="1" t="s">
        <v>1422</v>
      </c>
      <c r="E79" s="37" t="s">
        <v>1423</v>
      </c>
    </row>
    <row r="80" spans="1:5" ht="14.25">
      <c r="A80" s="36" t="s">
        <v>1373</v>
      </c>
      <c r="B80" s="1" t="s">
        <v>188</v>
      </c>
      <c r="C80" s="1" t="s">
        <v>173</v>
      </c>
      <c r="D80" s="1" t="s">
        <v>1424</v>
      </c>
      <c r="E80" s="37" t="s">
        <v>1425</v>
      </c>
    </row>
    <row r="81" spans="1:5" ht="14.25">
      <c r="A81" s="36" t="s">
        <v>417</v>
      </c>
      <c r="B81" s="1" t="s">
        <v>190</v>
      </c>
      <c r="C81" s="1" t="s">
        <v>171</v>
      </c>
      <c r="D81" s="1" t="s">
        <v>472</v>
      </c>
      <c r="E81" s="37" t="s">
        <v>1426</v>
      </c>
    </row>
    <row r="82" spans="1:5" ht="14.25">
      <c r="A82" s="36" t="s">
        <v>1307</v>
      </c>
      <c r="B82" s="1" t="s">
        <v>399</v>
      </c>
      <c r="C82" s="1" t="s">
        <v>169</v>
      </c>
      <c r="D82" s="1" t="s">
        <v>333</v>
      </c>
      <c r="E82" s="37" t="s">
        <v>1427</v>
      </c>
    </row>
    <row r="83" spans="1:5" ht="14.25">
      <c r="A83" s="36"/>
      <c r="E83" s="37"/>
    </row>
    <row r="84" spans="1:5" ht="14.25">
      <c r="A84" s="36"/>
      <c r="E84" s="37"/>
    </row>
    <row r="85" spans="1:5" ht="14.25">
      <c r="A85" s="36"/>
      <c r="E85" s="37"/>
    </row>
    <row r="86" spans="1:5" ht="14.25">
      <c r="A86" s="36"/>
      <c r="E86" s="37"/>
    </row>
    <row r="87" spans="1:5" ht="14.25">
      <c r="A87" s="36"/>
      <c r="E87" s="37"/>
    </row>
    <row r="88" spans="1:5" ht="14.25">
      <c r="A88" s="36"/>
      <c r="E88" s="37"/>
    </row>
    <row r="89" spans="1:5" ht="14.25">
      <c r="A89" s="36"/>
      <c r="E89" s="37"/>
    </row>
    <row r="91" spans="1:2" ht="15.75">
      <c r="A91" s="33"/>
      <c r="B91" s="34"/>
    </row>
    <row r="92" spans="1:5" ht="15.75">
      <c r="A92" s="35"/>
      <c r="B92" s="35"/>
      <c r="C92" s="35"/>
      <c r="D92" s="35"/>
      <c r="E92" s="35"/>
    </row>
  </sheetData>
  <sheetProtection selectLockedCells="1" selectUnlockedCells="1"/>
  <mergeCells count="22">
    <mergeCell ref="A1:T2"/>
    <mergeCell ref="A3:A4"/>
    <mergeCell ref="B3:B4"/>
    <mergeCell ref="C3:C4"/>
    <mergeCell ref="D3:D4"/>
    <mergeCell ref="E3:E4"/>
    <mergeCell ref="F3:I3"/>
    <mergeCell ref="J3:M3"/>
    <mergeCell ref="N3:Q3"/>
    <mergeCell ref="R3:R4"/>
    <mergeCell ref="S3:S4"/>
    <mergeCell ref="T3:T4"/>
    <mergeCell ref="A5:S5"/>
    <mergeCell ref="A8:S8"/>
    <mergeCell ref="A11:S11"/>
    <mergeCell ref="A14:S14"/>
    <mergeCell ref="A19:S19"/>
    <mergeCell ref="A23:S23"/>
    <mergeCell ref="A28:S28"/>
    <mergeCell ref="A34:S34"/>
    <mergeCell ref="A40:S40"/>
    <mergeCell ref="A46:S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/>
  <cp:lastPrinted>2008-02-22T21:19:54Z</cp:lastPrinted>
  <dcterms:created xsi:type="dcterms:W3CDTF">2002-06-16T13:36:44Z</dcterms:created>
  <dcterms:modified xsi:type="dcterms:W3CDTF">2017-11-17T14:51:35Z</dcterms:modified>
  <cp:category/>
  <cp:version/>
  <cp:contentType/>
  <cp:contentStatus/>
  <cp:revision>210</cp:revision>
</cp:coreProperties>
</file>